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1.xml" ContentType="application/vnd.openxmlformats-officedocument.drawing+xml"/>
  <Override PartName="/xl/comments4.xml" ContentType="application/vnd.openxmlformats-officedocument.spreadsheetml.comments+xml"/>
  <Override PartName="/xl/drawings/drawing2.xml" ContentType="application/vnd.openxmlformats-officedocument.drawing+xml"/>
  <Override PartName="/xl/comments5.xml" ContentType="application/vnd.openxmlformats-officedocument.spreadsheetml.comments+xml"/>
  <Override PartName="/xl/drawings/drawing3.xml" ContentType="application/vnd.openxmlformats-officedocument.drawing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drawings/drawing4.xml" ContentType="application/vnd.openxmlformats-officedocument.drawing+xml"/>
  <Override PartName="/xl/comments8.xml" ContentType="application/vnd.openxmlformats-officedocument.spreadsheetml.comments+xml"/>
  <Override PartName="/xl/drawings/drawing5.xml" ContentType="application/vnd.openxmlformats-officedocument.drawing+xml"/>
  <Override PartName="/xl/comments9.xml" ContentType="application/vnd.openxmlformats-officedocument.spreadsheetml.comments+xml"/>
  <Override PartName="/xl/drawings/drawing6.xml" ContentType="application/vnd.openxmlformats-officedocument.drawing+xml"/>
  <Override PartName="/xl/comments10.xml" ContentType="application/vnd.openxmlformats-officedocument.spreadsheetml.comment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filterPrivacy="1" defaultThemeVersion="124226"/>
  <bookViews>
    <workbookView xWindow="240" yWindow="255" windowWidth="14805" windowHeight="7860" firstSheet="5" activeTab="11"/>
  </bookViews>
  <sheets>
    <sheet name="需求调查表" sheetId="16" r:id="rId1"/>
    <sheet name="锅炉计算" sheetId="1" r:id="rId2"/>
    <sheet name="汽轮机计算" sheetId="10" r:id="rId3"/>
    <sheet name="锅炉辅机系统" sheetId="19" r:id="rId4"/>
    <sheet name="输煤系统" sheetId="2" r:id="rId5"/>
    <sheet name="烟风系统" sheetId="8" r:id="rId6"/>
    <sheet name="脱硫脱硝" sheetId="5" r:id="rId7"/>
    <sheet name="除灰除渣系统" sheetId="3" r:id="rId8"/>
    <sheet name="循环水系统" sheetId="18" r:id="rId9"/>
    <sheet name="制粉系统" sheetId="15" r:id="rId10"/>
    <sheet name="烟囱" sheetId="12" r:id="rId11"/>
    <sheet name="锅炉尺寸" sheetId="7" r:id="rId12"/>
    <sheet name="公用工程" sheetId="13" r:id="rId13"/>
    <sheet name="Sheet3" sheetId="14" r:id="rId14"/>
  </sheets>
  <externalReferences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</externalReferences>
  <definedNames>
    <definedName name="_1_?">#REF!</definedName>
    <definedName name="_2_??????">#REF!</definedName>
    <definedName name="_EQA1">#REF!</definedName>
    <definedName name="_QU2">#REF!</definedName>
    <definedName name="_vV65536">#REF!</definedName>
    <definedName name="_vV65537">#REF!</definedName>
    <definedName name="A">'[3]BA '!#REF!</definedName>
    <definedName name="aa">'[4]BA '!#REF!</definedName>
    <definedName name="aaa">'[5]BA '!#REF!</definedName>
    <definedName name="ACON">#REF!</definedName>
    <definedName name="ACQU">#REF!</definedName>
    <definedName name="ADS">#REF!</definedName>
    <definedName name="AEQ">#REF!</definedName>
    <definedName name="AQ">#REF!</definedName>
    <definedName name="AQU">#REF!</definedName>
    <definedName name="AS">#REF!</definedName>
    <definedName name="AX">#REF!</definedName>
    <definedName name="AZ">#REF!</definedName>
    <definedName name="B">'[3]BA '!#REF!</definedName>
    <definedName name="bbb">#REF!</definedName>
    <definedName name="CCTV">[6]CCTV!#REF!</definedName>
    <definedName name="CON">'[7]BA-Pl'!$K$1:$K$65536</definedName>
    <definedName name="contr">#REF!</definedName>
    <definedName name="controller">#REF!</definedName>
    <definedName name="cqu">[8]点表!$J$1:$J$65536</definedName>
    <definedName name="C数量">#REF!</definedName>
    <definedName name="C型号">#REF!</definedName>
    <definedName name="D">#REF!</definedName>
    <definedName name="_xlnm.Database">#REF!</definedName>
    <definedName name="DD">#REF!</definedName>
    <definedName name="DDC">#REF!</definedName>
    <definedName name="DDC数量">#REF!</definedName>
    <definedName name="DF">#REF!</definedName>
    <definedName name="dmt">[9]多媒体查询!#REF!</definedName>
    <definedName name="ds">#REF!</definedName>
    <definedName name="E">#REF!</definedName>
    <definedName name="ee">#REF!</definedName>
    <definedName name="EQ">'[7]BA-Pl'!$I$1:$I$65536</definedName>
    <definedName name="EQA">[10]点表!$I$1:$I$65536</definedName>
    <definedName name="EQAG">#REF!</definedName>
    <definedName name="EQU">[8]点表!$I$1:$I$65536</definedName>
    <definedName name="EQUI">#REF!</definedName>
    <definedName name="EQUIPMENT">#REF!</definedName>
    <definedName name="E数量">#REF!</definedName>
    <definedName name="F">#REF!</definedName>
    <definedName name="II">[10]点表!#REF!,[10]点表!#REF!,[10]点表!$I$1:$I$65536</definedName>
    <definedName name="jf">[9]中心机房!#REF!</definedName>
    <definedName name="JJ">[10]点表!#REF!,[10]点表!#REF!,[10]点表!$J$1:$J$65536</definedName>
    <definedName name="meet">[9]会议!#REF!</definedName>
    <definedName name="NET">#REF!</definedName>
    <definedName name="OCON">#REF!</definedName>
    <definedName name="OCQU">#REF!</definedName>
    <definedName name="OEQ">#REF!</definedName>
    <definedName name="OQU">#REF!</definedName>
    <definedName name="pa">[9]公共广播!#REF!</definedName>
    <definedName name="park">[9]停车场!#REF!</definedName>
    <definedName name="PC">[11]p2!$D$36</definedName>
    <definedName name="PDS">#REF!</definedName>
    <definedName name="_xlnm.Print_Area" localSheetId="10">烟囱!$A$1:$U$23</definedName>
    <definedName name="_xlnm.Print_Area">#REF!</definedName>
    <definedName name="Print_Area_MI">#REF!</definedName>
    <definedName name="Printer">[11]p2!$D$37</definedName>
    <definedName name="Q">[9]移动通信!#REF!</definedName>
    <definedName name="qqq">'[4]BA '!#REF!</definedName>
    <definedName name="qu">#REF!</definedName>
    <definedName name="QUA">'[7]BA-Pl'!$J$1:$J$65536</definedName>
    <definedName name="QUAC">'[7]BA-Pl'!$L$1:$L$65536</definedName>
    <definedName name="quan">#REF!</definedName>
    <definedName name="QUJ">#REF!</definedName>
    <definedName name="QUU">#REF!</definedName>
    <definedName name="QW">#REF!</definedName>
    <definedName name="REF_A_DISC58226780">#REF!</definedName>
    <definedName name="REF_B_DISC58226780">#REF!</definedName>
    <definedName name="REF_D_DISC58226780">#REF!</definedName>
    <definedName name="REF_F_DISC58226780">#REF!</definedName>
    <definedName name="REF_H_DISC58226780">#REF!</definedName>
    <definedName name="s">#REF!</definedName>
    <definedName name="SD">#REF!</definedName>
    <definedName name="SENSER">#REF!</definedName>
    <definedName name="SENSER数量">#REF!</definedName>
    <definedName name="T">#REF!</definedName>
    <definedName name="T_MCE3">#REF!</definedName>
    <definedName name="TS">[9]BA!#REF!</definedName>
    <definedName name="WQ">#REF!</definedName>
    <definedName name="WW">#REF!</definedName>
    <definedName name="WY">[9]物业!#REF!</definedName>
    <definedName name="XD505_XBS">[11]p2!$D$25</definedName>
    <definedName name="XPC500">[11]p2!$D$24</definedName>
    <definedName name="yd">[9]移动通信!#REF!</definedName>
    <definedName name="za">[9]防雷接地!#REF!</definedName>
    <definedName name="设备型号">#REF!</definedName>
    <definedName name="数量">#REF!</definedName>
    <definedName name="型号">#REF!</definedName>
  </definedNames>
  <calcPr calcId="152511"/>
</workbook>
</file>

<file path=xl/calcChain.xml><?xml version="1.0" encoding="utf-8"?>
<calcChain xmlns="http://schemas.openxmlformats.org/spreadsheetml/2006/main">
  <c r="F18" i="3" l="1"/>
  <c r="F51" i="19"/>
  <c r="F137" i="19"/>
  <c r="F111" i="19"/>
  <c r="F104" i="19"/>
  <c r="F91" i="19"/>
  <c r="F93" i="19" s="1"/>
  <c r="F84" i="19"/>
  <c r="F78" i="19"/>
  <c r="F76" i="19"/>
  <c r="F75" i="19"/>
  <c r="F64" i="19"/>
  <c r="F70" i="19" s="1"/>
  <c r="F52" i="19"/>
  <c r="F55" i="19" s="1"/>
  <c r="F49" i="19"/>
  <c r="F31" i="19"/>
  <c r="F17" i="19"/>
  <c r="E2" i="19"/>
  <c r="E4" i="19" s="1"/>
  <c r="E6" i="19" s="1"/>
  <c r="E8" i="19" s="1"/>
  <c r="E10" i="19" s="1"/>
  <c r="E36" i="18"/>
  <c r="E43" i="18"/>
  <c r="E27" i="18"/>
  <c r="E35" i="18" s="1"/>
  <c r="E25" i="18"/>
  <c r="E21" i="18"/>
  <c r="E16" i="18"/>
  <c r="E13" i="18"/>
  <c r="E18" i="18" s="1"/>
  <c r="E19" i="18" s="1"/>
  <c r="G10" i="18"/>
  <c r="E8" i="18"/>
  <c r="F6" i="18"/>
  <c r="F8" i="18" s="1"/>
  <c r="E6" i="18"/>
  <c r="F3" i="18"/>
  <c r="F128" i="19"/>
  <c r="F124" i="19"/>
  <c r="F116" i="19"/>
  <c r="F108" i="19"/>
  <c r="F35" i="19"/>
  <c r="F141" i="19"/>
  <c r="F123" i="19"/>
  <c r="F33" i="19"/>
  <c r="F21" i="19"/>
  <c r="F126" i="19"/>
  <c r="F112" i="19"/>
  <c r="F19" i="19"/>
  <c r="F125" i="19"/>
  <c r="F117" i="19"/>
  <c r="F98" i="19"/>
  <c r="F36" i="19"/>
  <c r="F40" i="19" l="1"/>
  <c r="F79" i="19"/>
  <c r="F80" i="19" s="1"/>
  <c r="F99" i="19"/>
  <c r="F127" i="19"/>
  <c r="F129" i="19" s="1"/>
  <c r="F113" i="19"/>
  <c r="F119" i="19" s="1"/>
  <c r="E44" i="18"/>
  <c r="E41" i="18"/>
  <c r="E42" i="18" s="1"/>
  <c r="E20" i="18"/>
  <c r="F20" i="18" s="1"/>
  <c r="E14" i="18"/>
  <c r="F22" i="19"/>
  <c r="F37" i="19"/>
  <c r="F25" i="19" l="1"/>
  <c r="F85" i="19"/>
  <c r="F86" i="19" s="1"/>
  <c r="F140" i="19"/>
  <c r="F142" i="19" s="1"/>
  <c r="F133" i="19"/>
  <c r="F134" i="19" s="1"/>
  <c r="F138" i="19" s="1"/>
  <c r="G16" i="1" l="1"/>
  <c r="F59" i="8"/>
  <c r="H14" i="1" l="1"/>
  <c r="G11" i="10" l="1"/>
  <c r="I11" i="10" s="1"/>
  <c r="G10" i="10"/>
  <c r="I13" i="10"/>
  <c r="G6" i="15" l="1"/>
  <c r="G2" i="15"/>
  <c r="F2" i="15"/>
  <c r="G3" i="15"/>
  <c r="G7" i="15" s="1"/>
  <c r="F3" i="15"/>
  <c r="F6" i="15" s="1"/>
  <c r="H13" i="10"/>
  <c r="F8" i="10"/>
  <c r="F5" i="15" l="1"/>
  <c r="F7" i="15"/>
  <c r="G5" i="15"/>
  <c r="F57" i="2"/>
  <c r="H122" i="1" l="1"/>
  <c r="H127" i="1"/>
  <c r="H137" i="1"/>
  <c r="H147" i="1"/>
  <c r="H85" i="1"/>
  <c r="H91" i="1"/>
  <c r="H92" i="1"/>
  <c r="H100" i="1"/>
  <c r="H104" i="1"/>
  <c r="H105" i="1"/>
  <c r="H112" i="1"/>
  <c r="H60" i="1"/>
  <c r="H62" i="1" s="1"/>
  <c r="H64" i="1" s="1"/>
  <c r="H66" i="1" s="1"/>
  <c r="H68" i="1" s="1"/>
  <c r="H126" i="1" s="1"/>
  <c r="H52" i="1"/>
  <c r="H40" i="1"/>
  <c r="H162" i="1" s="1"/>
  <c r="H23" i="1"/>
  <c r="H34" i="1"/>
  <c r="H36" i="1"/>
  <c r="H22" i="1"/>
  <c r="H45" i="1"/>
  <c r="H51" i="1" l="1"/>
  <c r="H161" i="1" s="1"/>
  <c r="H128" i="1"/>
  <c r="H130" i="1" s="1"/>
  <c r="H139" i="1" s="1"/>
  <c r="H70" i="1"/>
  <c r="H72" i="1" s="1"/>
  <c r="H46" i="1"/>
  <c r="H47" i="1" s="1"/>
  <c r="I35" i="10"/>
  <c r="F47" i="10"/>
  <c r="H74" i="1" l="1"/>
  <c r="H138" i="1"/>
  <c r="H55" i="1"/>
  <c r="H53" i="1"/>
  <c r="H54" i="1" s="1"/>
  <c r="H75" i="1" s="1"/>
  <c r="H117" i="1" s="1"/>
  <c r="H132" i="1"/>
  <c r="H76" i="1"/>
  <c r="H118" i="1" s="1"/>
  <c r="H49" i="1"/>
  <c r="H84" i="1" s="1"/>
  <c r="H86" i="1" s="1"/>
  <c r="H48" i="1"/>
  <c r="H95" i="1" s="1"/>
  <c r="G23" i="1"/>
  <c r="H26" i="1"/>
  <c r="H24" i="1"/>
  <c r="H149" i="1" l="1"/>
  <c r="H141" i="1"/>
  <c r="H148" i="1"/>
  <c r="H164" i="1"/>
  <c r="H165" i="1" s="1"/>
  <c r="H30" i="1"/>
  <c r="H56" i="1"/>
  <c r="H98" i="1"/>
  <c r="H108" i="1"/>
  <c r="H131" i="1"/>
  <c r="H16" i="8"/>
  <c r="E90" i="2"/>
  <c r="H160" i="1" l="1"/>
  <c r="H167" i="1" s="1"/>
  <c r="H151" i="1"/>
  <c r="H31" i="1"/>
  <c r="G33" i="2"/>
  <c r="G3" i="2"/>
  <c r="H33" i="1"/>
  <c r="H140" i="1"/>
  <c r="F80" i="8"/>
  <c r="F53" i="8"/>
  <c r="F37" i="8"/>
  <c r="F21" i="8"/>
  <c r="H38" i="1" l="1"/>
  <c r="H37" i="1"/>
  <c r="G7" i="2"/>
  <c r="G10" i="2" s="1"/>
  <c r="G5" i="2"/>
  <c r="G9" i="2" s="1"/>
  <c r="G30" i="2"/>
  <c r="G27" i="2"/>
  <c r="G13" i="2"/>
  <c r="G39" i="2"/>
  <c r="G40" i="2" s="1"/>
  <c r="G41" i="2" s="1"/>
  <c r="G36" i="2"/>
  <c r="H119" i="1"/>
  <c r="H142" i="1" s="1"/>
  <c r="H144" i="1" s="1"/>
  <c r="H87" i="1"/>
  <c r="H88" i="1" s="1"/>
  <c r="H150" i="1"/>
  <c r="F36" i="12"/>
  <c r="F35" i="12"/>
  <c r="F7" i="12"/>
  <c r="F15" i="12" s="1"/>
  <c r="E7" i="12"/>
  <c r="E21" i="12" s="1"/>
  <c r="R31" i="12"/>
  <c r="R30" i="12"/>
  <c r="R29" i="12"/>
  <c r="R28" i="12"/>
  <c r="R27" i="12"/>
  <c r="R26" i="12"/>
  <c r="R25" i="12"/>
  <c r="D25" i="12"/>
  <c r="D26" i="12" s="1"/>
  <c r="D27" i="12" s="1"/>
  <c r="D28" i="12" s="1"/>
  <c r="R24" i="12"/>
  <c r="S24" i="12" s="1"/>
  <c r="R23" i="12"/>
  <c r="R22" i="12"/>
  <c r="R21" i="12"/>
  <c r="R20" i="12"/>
  <c r="R19" i="12"/>
  <c r="R18" i="12"/>
  <c r="R17" i="12"/>
  <c r="D17" i="12"/>
  <c r="D18" i="12" s="1"/>
  <c r="D19" i="12" s="1"/>
  <c r="D20" i="12" s="1"/>
  <c r="D21" i="12" s="1"/>
  <c r="D22" i="12" s="1"/>
  <c r="D23" i="12" s="1"/>
  <c r="S23" i="12" s="1"/>
  <c r="R16" i="12"/>
  <c r="S16" i="12" s="1"/>
  <c r="R15" i="12"/>
  <c r="R14" i="12"/>
  <c r="D14" i="12"/>
  <c r="R13" i="12"/>
  <c r="D13" i="12"/>
  <c r="R12" i="12"/>
  <c r="D12" i="12"/>
  <c r="R11" i="12"/>
  <c r="D11" i="12"/>
  <c r="R10" i="12"/>
  <c r="D10" i="12"/>
  <c r="R9" i="12"/>
  <c r="D9" i="12"/>
  <c r="B9" i="12"/>
  <c r="B10" i="12" s="1"/>
  <c r="A8" i="12"/>
  <c r="A9" i="12" s="1"/>
  <c r="A10" i="12" s="1"/>
  <c r="A11" i="12" s="1"/>
  <c r="A12" i="12" s="1"/>
  <c r="A13" i="12" s="1"/>
  <c r="A14" i="12" s="1"/>
  <c r="A15" i="12" s="1"/>
  <c r="A16" i="12" s="1"/>
  <c r="A17" i="12" s="1"/>
  <c r="A18" i="12" s="1"/>
  <c r="A19" i="12" s="1"/>
  <c r="A20" i="12" s="1"/>
  <c r="A21" i="12" s="1"/>
  <c r="A22" i="12" s="1"/>
  <c r="A23" i="12" s="1"/>
  <c r="A24" i="12" s="1"/>
  <c r="A25" i="12" s="1"/>
  <c r="A26" i="12" s="1"/>
  <c r="A27" i="12" s="1"/>
  <c r="A28" i="12" s="1"/>
  <c r="A29" i="12" s="1"/>
  <c r="A30" i="12" s="1"/>
  <c r="A31" i="12" s="1"/>
  <c r="H154" i="1" l="1"/>
  <c r="H134" i="1"/>
  <c r="H143" i="1"/>
  <c r="H145" i="1" s="1"/>
  <c r="H163" i="1"/>
  <c r="H166" i="1" s="1"/>
  <c r="H168" i="1" s="1"/>
  <c r="H133" i="1"/>
  <c r="H135" i="1" s="1"/>
  <c r="H120" i="1"/>
  <c r="H123" i="1" s="1"/>
  <c r="H121" i="1"/>
  <c r="H93" i="1"/>
  <c r="H106" i="1"/>
  <c r="G16" i="2"/>
  <c r="G17" i="2"/>
  <c r="G22" i="2"/>
  <c r="G24" i="2" s="1"/>
  <c r="H152" i="1"/>
  <c r="H158" i="1" s="1"/>
  <c r="C8" i="12"/>
  <c r="C9" i="12" s="1"/>
  <c r="C10" i="12" s="1"/>
  <c r="C11" i="12" s="1"/>
  <c r="C12" i="12" s="1"/>
  <c r="C13" i="12" s="1"/>
  <c r="C14" i="12" s="1"/>
  <c r="C15" i="12" s="1"/>
  <c r="C16" i="12" s="1"/>
  <c r="C17" i="12" s="1"/>
  <c r="C18" i="12" s="1"/>
  <c r="C19" i="12" s="1"/>
  <c r="C20" i="12" s="1"/>
  <c r="C21" i="12" s="1"/>
  <c r="C22" i="12" s="1"/>
  <c r="C23" i="12" s="1"/>
  <c r="C24" i="12" s="1"/>
  <c r="C25" i="12" s="1"/>
  <c r="C26" i="12" s="1"/>
  <c r="C27" i="12" s="1"/>
  <c r="C28" i="12" s="1"/>
  <c r="C29" i="12" s="1"/>
  <c r="C30" i="12" s="1"/>
  <c r="C31" i="12" s="1"/>
  <c r="S25" i="12"/>
  <c r="S17" i="12"/>
  <c r="S19" i="12"/>
  <c r="F11" i="12"/>
  <c r="D29" i="12"/>
  <c r="D30" i="12" s="1"/>
  <c r="D31" i="12" s="1"/>
  <c r="S28" i="12"/>
  <c r="B11" i="12"/>
  <c r="B12" i="12" s="1"/>
  <c r="F8" i="12"/>
  <c r="F9" i="12"/>
  <c r="E10" i="12"/>
  <c r="F13" i="12"/>
  <c r="E14" i="12"/>
  <c r="F20" i="12"/>
  <c r="E26" i="12"/>
  <c r="S26" i="12"/>
  <c r="E30" i="12"/>
  <c r="S30" i="12"/>
  <c r="F10" i="12"/>
  <c r="E11" i="12"/>
  <c r="F14" i="12"/>
  <c r="F16" i="12"/>
  <c r="E17" i="12"/>
  <c r="S21" i="12"/>
  <c r="E31" i="12"/>
  <c r="E27" i="12"/>
  <c r="E22" i="12"/>
  <c r="E18" i="12"/>
  <c r="E29" i="12"/>
  <c r="E25" i="12"/>
  <c r="E20" i="12"/>
  <c r="E16" i="12"/>
  <c r="E15" i="12"/>
  <c r="E28" i="12"/>
  <c r="E24" i="12"/>
  <c r="E23" i="12"/>
  <c r="E19" i="12"/>
  <c r="E12" i="12"/>
  <c r="S27" i="12"/>
  <c r="S29" i="12"/>
  <c r="S31" i="12"/>
  <c r="F30" i="12"/>
  <c r="F26" i="12"/>
  <c r="F21" i="12"/>
  <c r="F17" i="12"/>
  <c r="F28" i="12"/>
  <c r="F24" i="12"/>
  <c r="F23" i="12"/>
  <c r="F19" i="12"/>
  <c r="F31" i="12"/>
  <c r="F27" i="12"/>
  <c r="F22" i="12"/>
  <c r="F18" i="12"/>
  <c r="E8" i="12"/>
  <c r="E9" i="12"/>
  <c r="F12" i="12"/>
  <c r="E13" i="12"/>
  <c r="S18" i="12"/>
  <c r="S20" i="12"/>
  <c r="S22" i="12"/>
  <c r="F25" i="12"/>
  <c r="F29" i="12"/>
  <c r="S8" i="12" l="1"/>
  <c r="S9" i="12"/>
  <c r="S10" i="12"/>
  <c r="H153" i="1"/>
  <c r="H101" i="1"/>
  <c r="H96" i="1"/>
  <c r="H94" i="1"/>
  <c r="H155" i="1"/>
  <c r="H156" i="1" s="1"/>
  <c r="H124" i="1"/>
  <c r="H109" i="1"/>
  <c r="H107" i="1"/>
  <c r="H113" i="1"/>
  <c r="S11" i="12"/>
  <c r="B13" i="12"/>
  <c r="S12" i="12"/>
  <c r="F62" i="10"/>
  <c r="J34" i="10"/>
  <c r="F16" i="10"/>
  <c r="F72" i="10"/>
  <c r="F68" i="10"/>
  <c r="F46" i="10"/>
  <c r="F45" i="10"/>
  <c r="F44" i="10"/>
  <c r="F43" i="10"/>
  <c r="AB37" i="10"/>
  <c r="Y37" i="10"/>
  <c r="V37" i="10"/>
  <c r="AB36" i="10"/>
  <c r="Y36" i="10"/>
  <c r="V36" i="10"/>
  <c r="AB35" i="10"/>
  <c r="Y35" i="10"/>
  <c r="V35" i="10"/>
  <c r="AB34" i="10"/>
  <c r="Y34" i="10"/>
  <c r="V34" i="10"/>
  <c r="F34" i="10"/>
  <c r="AB33" i="10"/>
  <c r="Y33" i="10"/>
  <c r="V33" i="10"/>
  <c r="B33" i="10"/>
  <c r="E33" i="10" s="1"/>
  <c r="AB32" i="10"/>
  <c r="Y32" i="10"/>
  <c r="V32" i="10"/>
  <c r="E32" i="10"/>
  <c r="AB31" i="10"/>
  <c r="Y31" i="10"/>
  <c r="V31" i="10"/>
  <c r="AB30" i="10"/>
  <c r="Y30" i="10"/>
  <c r="V30" i="10"/>
  <c r="F17" i="10"/>
  <c r="F49" i="10"/>
  <c r="C35" i="10"/>
  <c r="F90" i="10"/>
  <c r="F32" i="10"/>
  <c r="H34" i="10"/>
  <c r="F91" i="10"/>
  <c r="F48" i="10"/>
  <c r="C38" i="10"/>
  <c r="G33" i="10"/>
  <c r="G32" i="10"/>
  <c r="F9" i="10"/>
  <c r="F33" i="10"/>
  <c r="B38" i="10"/>
  <c r="C32" i="10"/>
  <c r="X29" i="10"/>
  <c r="F51" i="10" l="1"/>
  <c r="H110" i="1"/>
  <c r="H157" i="1"/>
  <c r="H102" i="1"/>
  <c r="H97" i="1"/>
  <c r="H114" i="1"/>
  <c r="B36" i="10"/>
  <c r="B14" i="12"/>
  <c r="S13" i="12"/>
  <c r="F19" i="10"/>
  <c r="I32" i="10"/>
  <c r="F50" i="10" s="1"/>
  <c r="I33" i="10"/>
  <c r="F56" i="10" s="1"/>
  <c r="F12" i="10"/>
  <c r="C36" i="10"/>
  <c r="C37" i="10" s="1"/>
  <c r="C33" i="10"/>
  <c r="F70" i="10"/>
  <c r="J35" i="10"/>
  <c r="J32" i="10"/>
  <c r="F52" i="10"/>
  <c r="F13" i="10"/>
  <c r="F14" i="10"/>
  <c r="J33" i="10"/>
  <c r="F21" i="10"/>
  <c r="F11" i="10"/>
  <c r="F53" i="10"/>
  <c r="F57" i="10" l="1"/>
  <c r="G12" i="10"/>
  <c r="K32" i="10"/>
  <c r="K33" i="10" s="1"/>
  <c r="K35" i="10" s="1"/>
  <c r="B15" i="12"/>
  <c r="S14" i="12"/>
  <c r="F18" i="10"/>
  <c r="F22" i="10" s="1"/>
  <c r="F23" i="10" s="1"/>
  <c r="F69" i="10"/>
  <c r="F55" i="10"/>
  <c r="E36" i="10"/>
  <c r="B37" i="10"/>
  <c r="E37" i="10" s="1"/>
  <c r="F58" i="10"/>
  <c r="F59" i="10"/>
  <c r="G36" i="10"/>
  <c r="F36" i="10"/>
  <c r="F37" i="10"/>
  <c r="G13" i="10"/>
  <c r="G37" i="10"/>
  <c r="F63" i="10" l="1"/>
  <c r="H10" i="10"/>
  <c r="I8" i="10" s="1"/>
  <c r="S15" i="12"/>
  <c r="B16" i="12"/>
  <c r="I36" i="10"/>
  <c r="I37" i="10"/>
  <c r="F54" i="10"/>
  <c r="F60" i="10"/>
  <c r="F71" i="10"/>
  <c r="F65" i="10"/>
  <c r="F64" i="10"/>
  <c r="J37" i="10"/>
  <c r="J36" i="10"/>
  <c r="F75" i="10" l="1"/>
  <c r="F87" i="10" s="1"/>
  <c r="F81" i="10"/>
  <c r="K36" i="10"/>
  <c r="K37" i="10" s="1"/>
  <c r="B17" i="12"/>
  <c r="F74" i="10"/>
  <c r="F80" i="10"/>
  <c r="F67" i="10"/>
  <c r="F61" i="10"/>
  <c r="F83" i="10"/>
  <c r="F77" i="10"/>
  <c r="F82" i="10"/>
  <c r="F88" i="10"/>
  <c r="F76" i="10"/>
  <c r="F89" i="10" l="1"/>
  <c r="F92" i="10" s="1"/>
  <c r="B18" i="12"/>
  <c r="F66" i="10"/>
  <c r="F78" i="10"/>
  <c r="B19" i="12" l="1"/>
  <c r="F79" i="10"/>
  <c r="F73" i="10"/>
  <c r="F85" i="10"/>
  <c r="F84" i="10"/>
  <c r="F93" i="10" s="1"/>
  <c r="B20" i="12" l="1"/>
  <c r="F94" i="10"/>
  <c r="F95" i="10" s="1"/>
  <c r="F96" i="10" s="1"/>
  <c r="B21" i="12" l="1"/>
  <c r="F105" i="10"/>
  <c r="F100" i="10"/>
  <c r="B22" i="12" l="1"/>
  <c r="F106" i="10"/>
  <c r="F108" i="10" s="1"/>
  <c r="B23" i="12" l="1"/>
  <c r="F111" i="10"/>
  <c r="F110" i="10"/>
  <c r="F109" i="10"/>
  <c r="B24" i="12" l="1"/>
  <c r="F17" i="8"/>
  <c r="B25" i="12" l="1"/>
  <c r="B26" i="12" l="1"/>
  <c r="F4" i="3"/>
  <c r="B27" i="12" l="1"/>
  <c r="B28" i="12" l="1"/>
  <c r="F82" i="5"/>
  <c r="F75" i="5"/>
  <c r="F67" i="5"/>
  <c r="F55" i="5"/>
  <c r="F14" i="5"/>
  <c r="G147" i="1"/>
  <c r="G137" i="1"/>
  <c r="G127" i="1"/>
  <c r="G122" i="1"/>
  <c r="G112" i="1"/>
  <c r="G105" i="1"/>
  <c r="G104" i="1"/>
  <c r="G100" i="1"/>
  <c r="G92" i="1"/>
  <c r="G91" i="1"/>
  <c r="G85" i="1"/>
  <c r="G60" i="1"/>
  <c r="G62" i="1" s="1"/>
  <c r="G64" i="1" s="1"/>
  <c r="G66" i="1" s="1"/>
  <c r="G68" i="1" s="1"/>
  <c r="G126" i="1" s="1"/>
  <c r="G52" i="1"/>
  <c r="G128" i="1" l="1"/>
  <c r="G130" i="1" s="1"/>
  <c r="G139" i="1" s="1"/>
  <c r="B29" i="12"/>
  <c r="G70" i="1"/>
  <c r="G72" i="1" s="1"/>
  <c r="G45" i="1"/>
  <c r="G22" i="1"/>
  <c r="G74" i="1" l="1"/>
  <c r="G138" i="1"/>
  <c r="B30" i="12"/>
  <c r="G46" i="1"/>
  <c r="G47" i="1" s="1"/>
  <c r="G48" i="1" s="1"/>
  <c r="G7" i="12" s="1"/>
  <c r="G148" i="1" l="1"/>
  <c r="G149" i="1" s="1"/>
  <c r="F37" i="12" s="1"/>
  <c r="F38" i="12" s="1"/>
  <c r="F39" i="12" s="1"/>
  <c r="J7" i="12" s="1"/>
  <c r="G164" i="1"/>
  <c r="G20" i="12"/>
  <c r="H20" i="12" s="1"/>
  <c r="G18" i="12"/>
  <c r="H18" i="12" s="1"/>
  <c r="G17" i="12"/>
  <c r="H17" i="12" s="1"/>
  <c r="H7" i="12"/>
  <c r="G28" i="12"/>
  <c r="H28" i="12" s="1"/>
  <c r="G30" i="12"/>
  <c r="H30" i="12" s="1"/>
  <c r="G8" i="12"/>
  <c r="H8" i="12" s="1"/>
  <c r="G29" i="12"/>
  <c r="H29" i="12" s="1"/>
  <c r="G27" i="12"/>
  <c r="H27" i="12" s="1"/>
  <c r="G26" i="12"/>
  <c r="H26" i="12" s="1"/>
  <c r="G12" i="12"/>
  <c r="H12" i="12" s="1"/>
  <c r="G9" i="12"/>
  <c r="H9" i="12" s="1"/>
  <c r="G13" i="12"/>
  <c r="H13" i="12" s="1"/>
  <c r="G14" i="12"/>
  <c r="H14" i="12" s="1"/>
  <c r="G25" i="12"/>
  <c r="H25" i="12" s="1"/>
  <c r="G22" i="12"/>
  <c r="H22" i="12" s="1"/>
  <c r="G21" i="12"/>
  <c r="H21" i="12" s="1"/>
  <c r="G24" i="12"/>
  <c r="H24" i="12" s="1"/>
  <c r="G10" i="12"/>
  <c r="H10" i="12" s="1"/>
  <c r="G16" i="12"/>
  <c r="H16" i="12" s="1"/>
  <c r="G23" i="12"/>
  <c r="H23" i="12" s="1"/>
  <c r="G11" i="12"/>
  <c r="H11" i="12" s="1"/>
  <c r="G15" i="12"/>
  <c r="H15" i="12" s="1"/>
  <c r="G31" i="12"/>
  <c r="H31" i="12" s="1"/>
  <c r="G19" i="12"/>
  <c r="H19" i="12" s="1"/>
  <c r="B31" i="12"/>
  <c r="G95" i="1"/>
  <c r="G108" i="1" s="1"/>
  <c r="F3" i="8"/>
  <c r="H11" i="8"/>
  <c r="G11" i="8"/>
  <c r="F7" i="8"/>
  <c r="F11" i="8" s="1"/>
  <c r="J29" i="12" l="1"/>
  <c r="J16" i="12"/>
  <c r="J21" i="12"/>
  <c r="J19" i="12"/>
  <c r="J10" i="12"/>
  <c r="J31" i="12"/>
  <c r="J11" i="12"/>
  <c r="J26" i="12"/>
  <c r="J9" i="12"/>
  <c r="J23" i="12"/>
  <c r="J18" i="12"/>
  <c r="J15" i="12"/>
  <c r="J12" i="12"/>
  <c r="J30" i="12"/>
  <c r="J28" i="12"/>
  <c r="J20" i="12"/>
  <c r="J24" i="12"/>
  <c r="J25" i="12"/>
  <c r="J22" i="12"/>
  <c r="J8" i="12"/>
  <c r="J27" i="12"/>
  <c r="J14" i="12"/>
  <c r="J17" i="12"/>
  <c r="J13" i="12"/>
  <c r="G98" i="1"/>
  <c r="F24" i="8"/>
  <c r="F27" i="8" s="1"/>
  <c r="G17" i="8"/>
  <c r="F75" i="8" s="1"/>
  <c r="F78" i="8" s="1"/>
  <c r="F79" i="8" l="1"/>
  <c r="F83" i="8" s="1"/>
  <c r="F85" i="8" s="1"/>
  <c r="F40" i="8"/>
  <c r="F43" i="8" s="1"/>
  <c r="H17" i="8"/>
  <c r="F28" i="8"/>
  <c r="G36" i="1"/>
  <c r="H17" i="1"/>
  <c r="H11" i="1"/>
  <c r="H16" i="1"/>
  <c r="G26" i="1"/>
  <c r="G24" i="1"/>
  <c r="F62" i="8" l="1"/>
  <c r="F98" i="10"/>
  <c r="G30" i="1"/>
  <c r="F3" i="2" l="1"/>
  <c r="F13" i="2" s="1"/>
  <c r="F17" i="2" s="1"/>
  <c r="J30" i="1"/>
  <c r="K30" i="1"/>
  <c r="F63" i="8"/>
  <c r="F101" i="10"/>
  <c r="F102" i="10" s="1"/>
  <c r="F99" i="10"/>
  <c r="F103" i="10" s="1"/>
  <c r="F33" i="2"/>
  <c r="G33" i="1"/>
  <c r="G31" i="1"/>
  <c r="F27" i="2" l="1"/>
  <c r="F30" i="2"/>
  <c r="K33" i="1"/>
  <c r="J33" i="1"/>
  <c r="F7" i="2"/>
  <c r="F10" i="2" s="1"/>
  <c r="F36" i="2"/>
  <c r="F39" i="2"/>
  <c r="F40" i="2" s="1"/>
  <c r="F41" i="2" s="1"/>
  <c r="F16" i="2"/>
  <c r="F64" i="2"/>
  <c r="F67" i="2" s="1"/>
  <c r="F47" i="2"/>
  <c r="F5" i="2"/>
  <c r="F9" i="2" s="1"/>
  <c r="G119" i="1"/>
  <c r="G87" i="1"/>
  <c r="F15" i="5"/>
  <c r="F49" i="2" l="1"/>
  <c r="F51" i="2" s="1"/>
  <c r="F48" i="2"/>
  <c r="F22" i="2"/>
  <c r="F49" i="5"/>
  <c r="F17" i="5"/>
  <c r="F48" i="5"/>
  <c r="G163" i="1"/>
  <c r="F52" i="2" l="1"/>
  <c r="F24" i="2"/>
  <c r="F22" i="5"/>
  <c r="F26" i="5"/>
  <c r="F27" i="5" s="1"/>
  <c r="F29" i="5" s="1"/>
  <c r="F30" i="5" s="1"/>
  <c r="F35" i="5" s="1"/>
  <c r="F38" i="5" l="1"/>
  <c r="F41" i="5" s="1"/>
  <c r="F42" i="5" s="1"/>
  <c r="F31" i="5"/>
  <c r="F32" i="5" s="1"/>
  <c r="F33" i="5" s="1"/>
  <c r="F44" i="8" l="1"/>
  <c r="F36" i="5"/>
  <c r="G34" i="1" s="1"/>
  <c r="G37" i="1" l="1"/>
  <c r="F3" i="3"/>
  <c r="F5" i="3" s="1"/>
  <c r="F13" i="3" s="1"/>
  <c r="G38" i="1"/>
  <c r="J37" i="1" l="1"/>
  <c r="K37" i="1"/>
  <c r="F29" i="3"/>
  <c r="F30" i="3" s="1"/>
  <c r="F32" i="3" s="1"/>
  <c r="F33" i="3" s="1"/>
  <c r="K38" i="1"/>
  <c r="J38" i="1"/>
  <c r="F12" i="3"/>
  <c r="F37" i="3" l="1"/>
  <c r="F39" i="3" s="1"/>
  <c r="F22" i="3"/>
  <c r="F24" i="3" s="1"/>
  <c r="F27" i="3"/>
  <c r="G17" i="1"/>
  <c r="G11" i="1"/>
  <c r="I11" i="1" s="1"/>
  <c r="G40" i="1"/>
  <c r="G132" i="1" l="1"/>
  <c r="G134" i="1" s="1"/>
  <c r="G76" i="1"/>
  <c r="G118" i="1" s="1"/>
  <c r="G121" i="1" s="1"/>
  <c r="G151" i="1"/>
  <c r="G154" i="1" s="1"/>
  <c r="G49" i="1"/>
  <c r="G160" i="1"/>
  <c r="G55" i="1"/>
  <c r="G51" i="1"/>
  <c r="G161" i="1" s="1"/>
  <c r="G53" i="1"/>
  <c r="G141" i="1"/>
  <c r="G143" i="1" s="1"/>
  <c r="G162" i="1"/>
  <c r="G84" i="1" l="1"/>
  <c r="G86" i="1" s="1"/>
  <c r="G88" i="1" s="1"/>
  <c r="G165" i="1"/>
  <c r="G166" i="1" s="1"/>
  <c r="G54" i="1"/>
  <c r="G75" i="1" s="1"/>
  <c r="G117" i="1" s="1"/>
  <c r="G167" i="1" l="1"/>
  <c r="G168" i="1" s="1"/>
  <c r="G93" i="1"/>
  <c r="G96" i="1" s="1"/>
  <c r="G106" i="1"/>
  <c r="G15" i="8" s="1"/>
  <c r="G18" i="8" s="1"/>
  <c r="F41" i="8" s="1"/>
  <c r="G56" i="1"/>
  <c r="G120" i="1"/>
  <c r="G123" i="1" s="1"/>
  <c r="G124" i="1" s="1"/>
  <c r="G131" i="1"/>
  <c r="F45" i="8" l="1"/>
  <c r="F15" i="8"/>
  <c r="F18" i="8" s="1"/>
  <c r="F25" i="8" s="1"/>
  <c r="G109" i="1"/>
  <c r="G113" i="1"/>
  <c r="G107" i="1"/>
  <c r="G94" i="1"/>
  <c r="G97" i="1" s="1"/>
  <c r="G101" i="1"/>
  <c r="G102" i="1" s="1"/>
  <c r="G133" i="1"/>
  <c r="G140" i="1"/>
  <c r="F48" i="8" l="1"/>
  <c r="F50" i="8" s="1"/>
  <c r="G45" i="8"/>
  <c r="F29" i="8"/>
  <c r="G110" i="1"/>
  <c r="G114" i="1"/>
  <c r="G142" i="1"/>
  <c r="G144" i="1" s="1"/>
  <c r="G145" i="1" s="1"/>
  <c r="G150" i="1"/>
  <c r="G152" i="1" s="1"/>
  <c r="G135" i="1"/>
  <c r="F7" i="3" s="1"/>
  <c r="F9" i="3" s="1"/>
  <c r="F6" i="3"/>
  <c r="F8" i="3" s="1"/>
  <c r="F11" i="3" s="1"/>
  <c r="F32" i="8" l="1"/>
  <c r="F34" i="8" s="1"/>
  <c r="G29" i="8"/>
  <c r="G153" i="1"/>
  <c r="H15" i="8"/>
  <c r="H18" i="8" s="1"/>
  <c r="F18" i="5"/>
  <c r="G155" i="1"/>
  <c r="G158" i="1"/>
  <c r="I7" i="12" s="1"/>
  <c r="F60" i="8" l="1"/>
  <c r="F64" i="8" s="1"/>
  <c r="F67" i="8" s="1"/>
  <c r="F69" i="8" s="1"/>
  <c r="F19" i="5"/>
  <c r="F52" i="5"/>
  <c r="I24" i="12"/>
  <c r="K24" i="12" s="1"/>
  <c r="L24" i="12" s="1"/>
  <c r="M24" i="12" s="1"/>
  <c r="I23" i="12"/>
  <c r="K23" i="12" s="1"/>
  <c r="L23" i="12" s="1"/>
  <c r="M23" i="12" s="1"/>
  <c r="I16" i="12"/>
  <c r="K16" i="12" s="1"/>
  <c r="L16" i="12" s="1"/>
  <c r="M16" i="12" s="1"/>
  <c r="I13" i="12"/>
  <c r="K13" i="12" s="1"/>
  <c r="L13" i="12" s="1"/>
  <c r="M13" i="12" s="1"/>
  <c r="I11" i="12"/>
  <c r="K11" i="12" s="1"/>
  <c r="L11" i="12" s="1"/>
  <c r="M11" i="12" s="1"/>
  <c r="I20" i="12"/>
  <c r="K20" i="12" s="1"/>
  <c r="L20" i="12" s="1"/>
  <c r="M20" i="12" s="1"/>
  <c r="I19" i="12"/>
  <c r="K19" i="12" s="1"/>
  <c r="L19" i="12" s="1"/>
  <c r="M19" i="12" s="1"/>
  <c r="I8" i="12"/>
  <c r="K8" i="12" s="1"/>
  <c r="L8" i="12" s="1"/>
  <c r="M8" i="12" s="1"/>
  <c r="I31" i="12"/>
  <c r="K31" i="12" s="1"/>
  <c r="L31" i="12" s="1"/>
  <c r="M31" i="12" s="1"/>
  <c r="I30" i="12"/>
  <c r="K30" i="12" s="1"/>
  <c r="L30" i="12" s="1"/>
  <c r="M30" i="12" s="1"/>
  <c r="I17" i="12"/>
  <c r="K17" i="12" s="1"/>
  <c r="L17" i="12" s="1"/>
  <c r="M17" i="12" s="1"/>
  <c r="I29" i="12"/>
  <c r="K29" i="12" s="1"/>
  <c r="L29" i="12" s="1"/>
  <c r="M29" i="12" s="1"/>
  <c r="I9" i="12"/>
  <c r="K9" i="12" s="1"/>
  <c r="L9" i="12" s="1"/>
  <c r="M9" i="12" s="1"/>
  <c r="I25" i="12"/>
  <c r="K25" i="12" s="1"/>
  <c r="L25" i="12" s="1"/>
  <c r="M25" i="12" s="1"/>
  <c r="I14" i="12"/>
  <c r="K14" i="12" s="1"/>
  <c r="L14" i="12" s="1"/>
  <c r="M14" i="12" s="1"/>
  <c r="K7" i="12"/>
  <c r="L7" i="12" s="1"/>
  <c r="I27" i="12"/>
  <c r="K27" i="12" s="1"/>
  <c r="L27" i="12" s="1"/>
  <c r="M27" i="12" s="1"/>
  <c r="I22" i="12"/>
  <c r="K22" i="12" s="1"/>
  <c r="L22" i="12" s="1"/>
  <c r="M22" i="12" s="1"/>
  <c r="I15" i="12"/>
  <c r="K15" i="12" s="1"/>
  <c r="L15" i="12" s="1"/>
  <c r="M15" i="12" s="1"/>
  <c r="I28" i="12"/>
  <c r="K28" i="12" s="1"/>
  <c r="L28" i="12" s="1"/>
  <c r="M28" i="12" s="1"/>
  <c r="I21" i="12"/>
  <c r="K21" i="12" s="1"/>
  <c r="L21" i="12" s="1"/>
  <c r="M21" i="12" s="1"/>
  <c r="I12" i="12"/>
  <c r="K12" i="12" s="1"/>
  <c r="L12" i="12" s="1"/>
  <c r="M12" i="12" s="1"/>
  <c r="I26" i="12"/>
  <c r="K26" i="12" s="1"/>
  <c r="L26" i="12" s="1"/>
  <c r="M26" i="12" s="1"/>
  <c r="I18" i="12"/>
  <c r="K18" i="12" s="1"/>
  <c r="L18" i="12" s="1"/>
  <c r="M18" i="12" s="1"/>
  <c r="I10" i="12"/>
  <c r="K10" i="12" s="1"/>
  <c r="L10" i="12" s="1"/>
  <c r="M10" i="12" s="1"/>
  <c r="F14" i="3"/>
  <c r="F15" i="3" s="1"/>
  <c r="G156" i="1"/>
  <c r="N7" i="12" s="1"/>
  <c r="G157" i="1"/>
  <c r="F64" i="5" l="1"/>
  <c r="F65" i="5" s="1"/>
  <c r="F54" i="5"/>
  <c r="F79" i="5"/>
  <c r="F80" i="5" s="1"/>
  <c r="N23" i="12"/>
  <c r="O23" i="12" s="1"/>
  <c r="P23" i="12" s="1"/>
  <c r="N28" i="12"/>
  <c r="O28" i="12" s="1"/>
  <c r="P28" i="12" s="1"/>
  <c r="N18" i="12"/>
  <c r="O18" i="12" s="1"/>
  <c r="P18" i="12" s="1"/>
  <c r="N26" i="12"/>
  <c r="O26" i="12" s="1"/>
  <c r="P26" i="12" s="1"/>
  <c r="N16" i="12"/>
  <c r="O16" i="12" s="1"/>
  <c r="P16" i="12" s="1"/>
  <c r="N20" i="12"/>
  <c r="O20" i="12" s="1"/>
  <c r="P20" i="12" s="1"/>
  <c r="N11" i="12"/>
  <c r="O11" i="12" s="1"/>
  <c r="P11" i="12" s="1"/>
  <c r="T11" i="12" s="1"/>
  <c r="N19" i="12"/>
  <c r="O19" i="12" s="1"/>
  <c r="P19" i="12" s="1"/>
  <c r="N15" i="12"/>
  <c r="O15" i="12" s="1"/>
  <c r="P15" i="12" s="1"/>
  <c r="T15" i="12" s="1"/>
  <c r="N30" i="12"/>
  <c r="O30" i="12" s="1"/>
  <c r="P30" i="12" s="1"/>
  <c r="N21" i="12"/>
  <c r="O21" i="12" s="1"/>
  <c r="P21" i="12" s="1"/>
  <c r="N8" i="12"/>
  <c r="O8" i="12" s="1"/>
  <c r="P8" i="12" s="1"/>
  <c r="T8" i="12" s="1"/>
  <c r="O7" i="12"/>
  <c r="P7" i="12" s="1"/>
  <c r="N24" i="12"/>
  <c r="O24" i="12" s="1"/>
  <c r="P24" i="12" s="1"/>
  <c r="N27" i="12"/>
  <c r="O27" i="12" s="1"/>
  <c r="P27" i="12" s="1"/>
  <c r="N29" i="12"/>
  <c r="O29" i="12" s="1"/>
  <c r="P29" i="12" s="1"/>
  <c r="N22" i="12"/>
  <c r="O22" i="12" s="1"/>
  <c r="P22" i="12" s="1"/>
  <c r="N31" i="12"/>
  <c r="O31" i="12" s="1"/>
  <c r="P31" i="12" s="1"/>
  <c r="N10" i="12"/>
  <c r="O10" i="12" s="1"/>
  <c r="P10" i="12" s="1"/>
  <c r="T10" i="12" s="1"/>
  <c r="N12" i="12"/>
  <c r="O12" i="12" s="1"/>
  <c r="P12" i="12" s="1"/>
  <c r="T12" i="12" s="1"/>
  <c r="N9" i="12"/>
  <c r="O9" i="12" s="1"/>
  <c r="P9" i="12" s="1"/>
  <c r="T9" i="12" s="1"/>
  <c r="N17" i="12"/>
  <c r="O17" i="12" s="1"/>
  <c r="P17" i="12" s="1"/>
  <c r="N13" i="12"/>
  <c r="O13" i="12" s="1"/>
  <c r="P13" i="12" s="1"/>
  <c r="T13" i="12" s="1"/>
  <c r="N14" i="12"/>
  <c r="O14" i="12" s="1"/>
  <c r="P14" i="12" s="1"/>
  <c r="T14" i="12" s="1"/>
  <c r="N25" i="12"/>
  <c r="O25" i="12" s="1"/>
  <c r="P25" i="12" s="1"/>
  <c r="F21" i="5"/>
  <c r="F25" i="5"/>
  <c r="F57" i="5" l="1"/>
  <c r="F76" i="5" s="1"/>
  <c r="Q30" i="12"/>
  <c r="Q20" i="12"/>
  <c r="Q22" i="12"/>
  <c r="Q19" i="12"/>
  <c r="Q17" i="12"/>
  <c r="Q27" i="12"/>
  <c r="Q9" i="12"/>
  <c r="U9" i="12" s="1"/>
  <c r="Q26" i="12"/>
  <c r="Q14" i="12"/>
  <c r="U14" i="12" s="1"/>
  <c r="Q13" i="12"/>
  <c r="U13" i="12" s="1"/>
  <c r="Q21" i="12"/>
  <c r="Q8" i="12"/>
  <c r="U8" i="12" s="1"/>
  <c r="Q29" i="12"/>
  <c r="Q28" i="12"/>
  <c r="Q11" i="12"/>
  <c r="U11" i="12" s="1"/>
  <c r="Q10" i="12"/>
  <c r="U10" i="12" s="1"/>
  <c r="Q23" i="12"/>
  <c r="Q16" i="12"/>
  <c r="Q24" i="12"/>
  <c r="Q31" i="12"/>
  <c r="Q18" i="12"/>
  <c r="Q15" i="12"/>
  <c r="U15" i="12" s="1"/>
  <c r="Q25" i="12"/>
  <c r="Q12" i="12"/>
  <c r="U12" i="12" s="1"/>
  <c r="T25" i="12" l="1"/>
  <c r="U25" i="12" s="1"/>
  <c r="T24" i="12"/>
  <c r="U24" i="12" s="1"/>
  <c r="T21" i="12"/>
  <c r="U21" i="12" s="1"/>
  <c r="T22" i="12"/>
  <c r="U22" i="12" s="1"/>
  <c r="T16" i="12"/>
  <c r="U16" i="12" s="1"/>
  <c r="T28" i="12"/>
  <c r="U28" i="12" s="1"/>
  <c r="T27" i="12"/>
  <c r="U27" i="12" s="1"/>
  <c r="T20" i="12"/>
  <c r="U20" i="12" s="1"/>
  <c r="F60" i="5"/>
  <c r="T18" i="12"/>
  <c r="U18" i="12" s="1"/>
  <c r="T23" i="12"/>
  <c r="U23" i="12" s="1"/>
  <c r="T29" i="12"/>
  <c r="U29" i="12" s="1"/>
  <c r="T17" i="12"/>
  <c r="U17" i="12" s="1"/>
  <c r="T30" i="12"/>
  <c r="U30" i="12" s="1"/>
  <c r="T31" i="12"/>
  <c r="U31" i="12" s="1"/>
  <c r="T26" i="12"/>
  <c r="U26" i="12" s="1"/>
  <c r="T19" i="12"/>
  <c r="U19" i="12" s="1"/>
  <c r="F69" i="5" l="1"/>
  <c r="F62" i="5"/>
  <c r="F70" i="5"/>
  <c r="F61" i="5"/>
  <c r="F77" i="5" s="1"/>
  <c r="F84" i="5" s="1"/>
  <c r="F85" i="5" s="1"/>
  <c r="F71" i="5" l="1"/>
  <c r="F73" i="5"/>
  <c r="F42" i="19"/>
</calcChain>
</file>

<file path=xl/comments1.xml><?xml version="1.0" encoding="utf-8"?>
<comments xmlns="http://schemas.openxmlformats.org/spreadsheetml/2006/main">
  <authors>
    <author>作者</author>
  </authors>
  <commentList>
    <comment ref="H2" authorId="0" shapeId="0">
      <text>
        <r>
          <rPr>
            <b/>
            <sz val="14"/>
            <color indexed="81"/>
            <rFont val="宋体"/>
            <family val="3"/>
            <charset val="134"/>
          </rPr>
          <t>作者:
第一部分：需求调查表</t>
        </r>
        <r>
          <rPr>
            <b/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10.xml><?xml version="1.0" encoding="utf-8"?>
<comments xmlns="http://schemas.openxmlformats.org/spreadsheetml/2006/main">
  <authors>
    <author>作者</author>
  </authors>
  <commentList>
    <comment ref="C10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
1、分类：直吹式系统、中间储仓式系统
2、直吹式系统
1）磨煤机出力等于锅炉燃料消耗量
2）中速磨负压直吹系统，一次风机位于磨煤机之后，负压工作，不会冒粉，风机磨损严重
3）中速磨正压直吹系统，一次风机位于磨煤机之前
4）风扇磨直吹系统，适用于高挥发分、高水分、磨损性不强的褐煤
5）双进双出钢球磨直吹系统，煤种适应性广、备用容量小、符合调节范围大、煤粉细度稳定、煤粉浓度高</t>
        </r>
      </text>
    </comment>
    <comment ref="A12" authorId="0" shapeId="0">
      <text>
        <r>
          <rPr>
            <b/>
            <sz val="14"/>
            <color indexed="81"/>
            <rFont val="宋体"/>
            <family val="3"/>
            <charset val="134"/>
          </rPr>
          <t>作者:</t>
        </r>
        <r>
          <rPr>
            <sz val="14"/>
            <color indexed="81"/>
            <rFont val="宋体"/>
            <family val="3"/>
            <charset val="134"/>
          </rPr>
          <t xml:space="preserve">
此页暂不设计</t>
        </r>
      </text>
    </comment>
    <comment ref="G25" authorId="0" shapeId="0">
      <text>
        <r>
          <rPr>
            <b/>
            <sz val="9"/>
            <color indexed="81"/>
            <rFont val="宋体"/>
            <family val="3"/>
            <charset val="134"/>
          </rPr>
          <t xml:space="preserve">作者:
</t>
        </r>
      </text>
    </comment>
  </commentList>
</comments>
</file>

<file path=xl/comments2.xml><?xml version="1.0" encoding="utf-8"?>
<comments xmlns="http://schemas.openxmlformats.org/spreadsheetml/2006/main">
  <authors>
    <author>作者</author>
  </authors>
  <commentList>
    <comment ref="A2" authorId="0" shapeId="0">
      <text>
        <r>
          <rPr>
            <b/>
            <sz val="14"/>
            <color indexed="81"/>
            <rFont val="宋体"/>
            <family val="3"/>
            <charset val="134"/>
          </rPr>
          <t>唐游:第二部分，界面1：锅炉本体计算</t>
        </r>
      </text>
    </comment>
    <comment ref="I65" authorId="0" shapeId="0">
      <text>
        <r>
          <rPr>
            <b/>
            <sz val="9"/>
            <color indexed="81"/>
            <rFont val="宋体"/>
            <family val="3"/>
            <charset val="134"/>
          </rPr>
          <t>唐游:过量空气系数，旋风分离器，高过，低过，省煤器，空预器；空预器到除尘器间管道漏风系数除尘器，除尘器到引风机间管道漏风系数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  <comment ref="G87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按计算燃料核算</t>
        </r>
      </text>
    </comment>
  </commentList>
</comments>
</file>

<file path=xl/comments3.xml><?xml version="1.0" encoding="utf-8"?>
<comments xmlns="http://schemas.openxmlformats.org/spreadsheetml/2006/main">
  <authors>
    <author>作者</author>
  </authors>
  <commentList>
    <comment ref="G2" authorId="0" shapeId="0">
      <text>
        <r>
          <rPr>
            <b/>
            <sz val="14"/>
            <color indexed="81"/>
            <rFont val="宋体"/>
            <family val="3"/>
            <charset val="134"/>
          </rPr>
          <t>唐游:</t>
        </r>
        <r>
          <rPr>
            <sz val="14"/>
            <color indexed="81"/>
            <rFont val="宋体"/>
            <family val="3"/>
            <charset val="134"/>
          </rPr>
          <t>界面2：汽轮机计算，预留此页面，不采用本表格内容，此部分内容田波提供</t>
        </r>
      </text>
    </comment>
  </commentList>
</comments>
</file>

<file path=xl/comments4.xml><?xml version="1.0" encoding="utf-8"?>
<comments xmlns="http://schemas.openxmlformats.org/spreadsheetml/2006/main">
  <authors>
    <author>作者</author>
  </authors>
  <commentList>
    <comment ref="G2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第二部分，界面3：锅炉辅机计算，
此页目前只计算2、3、4、5、6、7项部分</t>
        </r>
      </text>
    </comment>
    <comment ref="F34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中压锅炉0.15
高压锅炉0.45</t>
        </r>
      </text>
    </comment>
    <comment ref="F42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计算时未考虑公式中汽包到扩容器间的管道散热损失系数0.98</t>
        </r>
      </text>
    </comment>
  </commentList>
</comments>
</file>

<file path=xl/comments5.xml><?xml version="1.0" encoding="utf-8"?>
<comments xmlns="http://schemas.openxmlformats.org/spreadsheetml/2006/main">
  <authors>
    <author>作者</author>
  </authors>
  <commentList>
    <comment ref="H2" authorId="0" shapeId="0">
      <text>
        <r>
          <rPr>
            <b/>
            <sz val="14"/>
            <color indexed="81"/>
            <rFont val="宋体"/>
            <family val="3"/>
            <charset val="134"/>
          </rPr>
          <t>作者:</t>
        </r>
        <r>
          <rPr>
            <sz val="14"/>
            <color indexed="81"/>
            <rFont val="宋体"/>
            <family val="3"/>
            <charset val="134"/>
          </rPr>
          <t xml:space="preserve">
第二部分，界面4：输煤系统</t>
        </r>
      </text>
    </comment>
    <comment ref="F17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删除</t>
        </r>
      </text>
    </comment>
    <comment ref="F27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首先系数确定，煤仓个数确定，再输出</t>
        </r>
      </text>
    </comment>
    <comment ref="F50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1、先根据标准，选定几路、几班，确定出力系数
2、自定义出力值，输入
3、总煤耗量×1.5/出力，算出运行时间
4、运行时间计算值是否符合标准要求，调整系统出力自定义值</t>
        </r>
      </text>
    </comment>
    <comment ref="F65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锅炉耗煤量乘以富裕系数，除以给煤机台数</t>
        </r>
      </text>
    </comment>
    <comment ref="D69" authorId="0" shapeId="0">
      <text>
        <r>
          <rPr>
            <b/>
            <sz val="12"/>
            <color indexed="81"/>
            <rFont val="宋体"/>
            <family val="3"/>
            <charset val="134"/>
          </rPr>
          <t>作者:</t>
        </r>
        <r>
          <rPr>
            <sz val="12"/>
            <color indexed="81"/>
            <rFont val="宋体"/>
            <family val="3"/>
            <charset val="134"/>
          </rPr>
          <t xml:space="preserve">
1、电子汽车衡，SCS系列，技术参数P486表10-15
2、装载机，ZL系列，P474表10-6
3、推煤机，TY系列
4、电子皮带秤，参数：带宽、带速、输送量，取决于皮带出力
5、循环链码校验装置，参数：带宽、带速、输送量，取决于皮带出力
6、电动双侧犁式卸料器，参数：带宽取决于皮带
7、除铁器：盘式电磁除铁器/带式电磁除铁器
8、电磁振动给料机，出力取决于给煤系统出力
9、筛煤机、破碎机，出力取决于给煤系统出力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作者</author>
  </authors>
  <commentList>
    <comment ref="J3" authorId="0" shapeId="0">
      <text>
        <r>
          <rPr>
            <b/>
            <sz val="16"/>
            <color indexed="81"/>
            <rFont val="宋体"/>
            <family val="3"/>
            <charset val="134"/>
          </rPr>
          <t>作者:</t>
        </r>
        <r>
          <rPr>
            <sz val="16"/>
            <color indexed="81"/>
            <rFont val="宋体"/>
            <family val="3"/>
            <charset val="134"/>
          </rPr>
          <t xml:space="preserve">
第二部分，界面5，烟风系统</t>
        </r>
      </text>
    </comment>
    <comment ref="F15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标态冷一次风</t>
        </r>
      </text>
    </comment>
    <comment ref="G15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标态冷二次风</t>
        </r>
      </text>
    </comment>
    <comment ref="H15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标态引风机进口</t>
        </r>
      </text>
    </comment>
  </commentList>
</comments>
</file>

<file path=xl/comments7.xml><?xml version="1.0" encoding="utf-8"?>
<comments xmlns="http://schemas.openxmlformats.org/spreadsheetml/2006/main">
  <authors>
    <author>作者</author>
  </authors>
  <commentList>
    <comment ref="F3" authorId="0" shapeId="0">
      <text>
        <r>
          <rPr>
            <b/>
            <sz val="12"/>
            <color indexed="81"/>
            <rFont val="宋体"/>
            <family val="3"/>
            <charset val="134"/>
          </rPr>
          <t>作者:</t>
        </r>
        <r>
          <rPr>
            <sz val="12"/>
            <color indexed="81"/>
            <rFont val="宋体"/>
            <family val="3"/>
            <charset val="134"/>
          </rPr>
          <t xml:space="preserve">
第二部分，界面6：脱硫脱硝系统</t>
        </r>
      </text>
    </comment>
    <comment ref="A6" authorId="0" shapeId="0">
      <text>
        <r>
          <rPr>
            <b/>
            <sz val="9"/>
            <color indexed="81"/>
            <rFont val="宋体"/>
            <family val="3"/>
            <charset val="134"/>
          </rPr>
          <t>唐游:脱硫工艺分：炉内脱硫，石灰石石膏湿法脱硫、半干法脱硫、干法脱硫
1、本系统设计，第一部分设计自动判别选择工艺
2、判别原则建上方红字，2%数据和F14进行对比（标红内容）
3、系统同时具有手动选择工艺功能</t>
        </r>
      </text>
    </comment>
    <comment ref="G28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参考值见E列</t>
        </r>
      </text>
    </comment>
  </commentList>
</comments>
</file>

<file path=xl/comments8.xml><?xml version="1.0" encoding="utf-8"?>
<comments xmlns="http://schemas.openxmlformats.org/spreadsheetml/2006/main">
  <authors>
    <author>作者</author>
  </authors>
  <commentList>
    <comment ref="F2" authorId="0" shapeId="0">
      <text>
        <r>
          <rPr>
            <b/>
            <sz val="14"/>
            <color indexed="81"/>
            <rFont val="宋体"/>
            <family val="3"/>
            <charset val="134"/>
          </rPr>
          <t>作者:</t>
        </r>
        <r>
          <rPr>
            <sz val="14"/>
            <color indexed="81"/>
            <rFont val="宋体"/>
            <family val="3"/>
            <charset val="134"/>
          </rPr>
          <t xml:space="preserve">
第二部分，界面7：除灰除渣系统</t>
        </r>
      </text>
    </comment>
    <comment ref="F18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取决于除尘器下灰量</t>
        </r>
      </text>
    </comment>
  </commentList>
</comments>
</file>

<file path=xl/comments9.xml><?xml version="1.0" encoding="utf-8"?>
<comments xmlns="http://schemas.openxmlformats.org/spreadsheetml/2006/main">
  <authors>
    <author>作者</author>
  </authors>
  <commentList>
    <comment ref="D1" authorId="0" shapeId="0">
      <text>
        <r>
          <rPr>
            <b/>
            <sz val="14"/>
            <color indexed="81"/>
            <rFont val="宋体"/>
            <family val="3"/>
            <charset val="134"/>
          </rPr>
          <t>作者:</t>
        </r>
        <r>
          <rPr>
            <sz val="14"/>
            <color indexed="81"/>
            <rFont val="宋体"/>
            <family val="3"/>
            <charset val="134"/>
          </rPr>
          <t xml:space="preserve">
第二部分，界面8：循环水系统</t>
        </r>
      </text>
    </comment>
    <comment ref="G3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先按输入自定义，此参数需从汽机计算调取参数</t>
        </r>
      </text>
    </comment>
  </commentList>
</comments>
</file>

<file path=xl/sharedStrings.xml><?xml version="1.0" encoding="utf-8"?>
<sst xmlns="http://schemas.openxmlformats.org/spreadsheetml/2006/main" count="3825" uniqueCount="1967">
  <si>
    <t>检测项目</t>
    <phoneticPr fontId="1" type="noConversion"/>
  </si>
  <si>
    <t>表示符号</t>
    <phoneticPr fontId="1" type="noConversion"/>
  </si>
  <si>
    <t>计量单位</t>
    <phoneticPr fontId="1" type="noConversion"/>
  </si>
  <si>
    <t>检测结果</t>
    <phoneticPr fontId="1" type="noConversion"/>
  </si>
  <si>
    <t>收到基碳含量</t>
    <phoneticPr fontId="1" type="noConversion"/>
  </si>
  <si>
    <t>收到基氢含量</t>
    <phoneticPr fontId="1" type="noConversion"/>
  </si>
  <si>
    <t>收到基氧含量</t>
    <phoneticPr fontId="1" type="noConversion"/>
  </si>
  <si>
    <t>收到基氮含量</t>
    <phoneticPr fontId="1" type="noConversion"/>
  </si>
  <si>
    <t>收到基硫含量</t>
    <phoneticPr fontId="1" type="noConversion"/>
  </si>
  <si>
    <t>收到基灰分</t>
    <phoneticPr fontId="1" type="noConversion"/>
  </si>
  <si>
    <t>收到基水含量</t>
    <phoneticPr fontId="1" type="noConversion"/>
  </si>
  <si>
    <t>收到基低位发热量</t>
    <phoneticPr fontId="1" type="noConversion"/>
  </si>
  <si>
    <t>Car</t>
    <phoneticPr fontId="1" type="noConversion"/>
  </si>
  <si>
    <t>Har</t>
    <phoneticPr fontId="1" type="noConversion"/>
  </si>
  <si>
    <t>Oar</t>
    <phoneticPr fontId="1" type="noConversion"/>
  </si>
  <si>
    <t>Nar</t>
    <phoneticPr fontId="1" type="noConversion"/>
  </si>
  <si>
    <t>Sar</t>
    <phoneticPr fontId="1" type="noConversion"/>
  </si>
  <si>
    <t>Aar</t>
    <phoneticPr fontId="1" type="noConversion"/>
  </si>
  <si>
    <t>Mar</t>
    <phoneticPr fontId="1" type="noConversion"/>
  </si>
  <si>
    <t>%</t>
    <phoneticPr fontId="1" type="noConversion"/>
  </si>
  <si>
    <t>Qnet.Ar</t>
    <phoneticPr fontId="1" type="noConversion"/>
  </si>
  <si>
    <t>Kj/kg</t>
    <phoneticPr fontId="1" type="noConversion"/>
  </si>
  <si>
    <t>Qnet.ar=339xCar+1030*Har-25xMar-109(Oar-Sar)</t>
  </si>
  <si>
    <t>设计煤种（烟煤）</t>
    <phoneticPr fontId="1" type="noConversion"/>
  </si>
  <si>
    <t>Kcal/kg</t>
    <phoneticPr fontId="1" type="noConversion"/>
  </si>
  <si>
    <t>总和</t>
    <phoneticPr fontId="1" type="noConversion"/>
  </si>
  <si>
    <t>用户提供</t>
    <phoneticPr fontId="1" type="noConversion"/>
  </si>
  <si>
    <t>低位发热量估算</t>
    <phoneticPr fontId="1" type="noConversion"/>
  </si>
  <si>
    <t>高位发热量估算</t>
    <phoneticPr fontId="1" type="noConversion"/>
  </si>
  <si>
    <t>Qar.gt</t>
    <phoneticPr fontId="1" type="noConversion"/>
  </si>
  <si>
    <t>一</t>
    <phoneticPr fontId="1" type="noConversion"/>
  </si>
  <si>
    <t>煤质资料</t>
    <phoneticPr fontId="1" type="noConversion"/>
  </si>
  <si>
    <t>分项</t>
    <phoneticPr fontId="1" type="noConversion"/>
  </si>
  <si>
    <t>（1）</t>
    <phoneticPr fontId="1" type="noConversion"/>
  </si>
  <si>
    <t>（2）</t>
  </si>
  <si>
    <t>（3）</t>
  </si>
  <si>
    <t>（4）</t>
  </si>
  <si>
    <t>（5）</t>
  </si>
  <si>
    <t>（6）</t>
  </si>
  <si>
    <t>（7）</t>
  </si>
  <si>
    <t>（8）</t>
  </si>
  <si>
    <t>（9）</t>
  </si>
  <si>
    <t>（10）</t>
  </si>
  <si>
    <t>（11）</t>
  </si>
  <si>
    <t>二</t>
    <phoneticPr fontId="1" type="noConversion"/>
  </si>
  <si>
    <t>公式及计算</t>
    <phoneticPr fontId="1" type="noConversion"/>
  </si>
  <si>
    <t>/</t>
    <phoneticPr fontId="1" type="noConversion"/>
  </si>
  <si>
    <t>KJ=4.1868*Kcal</t>
    <phoneticPr fontId="1" type="noConversion"/>
  </si>
  <si>
    <t>Qnet.gt=339xCar+1256*Har-109(Oar-Sar)</t>
    <phoneticPr fontId="1" type="noConversion"/>
  </si>
  <si>
    <t>过热蒸汽流量</t>
    <phoneticPr fontId="1" type="noConversion"/>
  </si>
  <si>
    <t>Dgr</t>
    <phoneticPr fontId="1" type="noConversion"/>
  </si>
  <si>
    <t>t/h</t>
    <phoneticPr fontId="1" type="noConversion"/>
  </si>
  <si>
    <t>锅炉厂资料</t>
  </si>
  <si>
    <t>锅炉厂资料</t>
    <phoneticPr fontId="1" type="noConversion"/>
  </si>
  <si>
    <t>（12）</t>
  </si>
  <si>
    <t>（13）</t>
  </si>
  <si>
    <t>（14）</t>
  </si>
  <si>
    <t>（15）</t>
  </si>
  <si>
    <t>（16）</t>
  </si>
  <si>
    <t>（17）</t>
  </si>
  <si>
    <t>（18）</t>
  </si>
  <si>
    <t>（19）</t>
  </si>
  <si>
    <t>（20）</t>
  </si>
  <si>
    <t>（21）</t>
  </si>
  <si>
    <t>过热蒸汽出口压力</t>
    <phoneticPr fontId="1" type="noConversion"/>
  </si>
  <si>
    <t>Pgr</t>
    <phoneticPr fontId="1" type="noConversion"/>
  </si>
  <si>
    <t>Mpa（g）</t>
    <phoneticPr fontId="1" type="noConversion"/>
  </si>
  <si>
    <t>过热蒸汽温度</t>
    <phoneticPr fontId="1" type="noConversion"/>
  </si>
  <si>
    <t>Tgr</t>
    <phoneticPr fontId="1" type="noConversion"/>
  </si>
  <si>
    <t>℃</t>
    <phoneticPr fontId="1" type="noConversion"/>
  </si>
  <si>
    <t>锅筒压力</t>
    <phoneticPr fontId="1" type="noConversion"/>
  </si>
  <si>
    <t>给水温度</t>
    <phoneticPr fontId="1" type="noConversion"/>
  </si>
  <si>
    <t>锅炉效率</t>
    <phoneticPr fontId="1" type="noConversion"/>
  </si>
  <si>
    <t>机械未燃烧损失</t>
    <phoneticPr fontId="1" type="noConversion"/>
  </si>
  <si>
    <t>过热蒸汽焓值</t>
    <phoneticPr fontId="1" type="noConversion"/>
  </si>
  <si>
    <t>锅炉排污率</t>
    <phoneticPr fontId="1" type="noConversion"/>
  </si>
  <si>
    <t>Igr</t>
    <phoneticPr fontId="1" type="noConversion"/>
  </si>
  <si>
    <t>Kj/kg</t>
    <phoneticPr fontId="1" type="noConversion"/>
  </si>
  <si>
    <t>查表</t>
    <phoneticPr fontId="1" type="noConversion"/>
  </si>
  <si>
    <t>Ibs</t>
    <phoneticPr fontId="1" type="noConversion"/>
  </si>
  <si>
    <t>锅炉厂资料    取2%</t>
    <phoneticPr fontId="1" type="noConversion"/>
  </si>
  <si>
    <t>锅炉厂资料-----过热蒸汽压力*1.1</t>
    <phoneticPr fontId="1" type="noConversion"/>
  </si>
  <si>
    <t>Tgs</t>
    <phoneticPr fontId="1" type="noConversion"/>
  </si>
  <si>
    <t>ηg</t>
    <phoneticPr fontId="1" type="noConversion"/>
  </si>
  <si>
    <t>%</t>
    <phoneticPr fontId="1" type="noConversion"/>
  </si>
  <si>
    <t>q4</t>
    <phoneticPr fontId="1" type="noConversion"/>
  </si>
  <si>
    <t>锅炉燃料消耗量</t>
    <phoneticPr fontId="1" type="noConversion"/>
  </si>
  <si>
    <t>Bg</t>
    <phoneticPr fontId="1" type="noConversion"/>
  </si>
  <si>
    <t>kg/h</t>
    <phoneticPr fontId="1" type="noConversion"/>
  </si>
  <si>
    <t>给水焓值</t>
    <phoneticPr fontId="1" type="noConversion"/>
  </si>
  <si>
    <t>Igs</t>
    <phoneticPr fontId="1" type="noConversion"/>
  </si>
  <si>
    <t>ηpw</t>
    <phoneticPr fontId="1" type="noConversion"/>
  </si>
  <si>
    <t>Dgr*1000*/ηg（(Igr-Igs)+ηpw(ibs-igs)）/Qnet.ar</t>
    <phoneticPr fontId="1" type="noConversion"/>
  </si>
  <si>
    <t>计算燃料消耗量</t>
    <phoneticPr fontId="1" type="noConversion"/>
  </si>
  <si>
    <t>Bj</t>
    <phoneticPr fontId="1" type="noConversion"/>
  </si>
  <si>
    <t>Bg*（1-q4）</t>
    <phoneticPr fontId="1" type="noConversion"/>
  </si>
  <si>
    <t>输煤系统</t>
    <phoneticPr fontId="1" type="noConversion"/>
  </si>
  <si>
    <t>燃料耗量</t>
    <phoneticPr fontId="1" type="noConversion"/>
  </si>
  <si>
    <t>三</t>
    <phoneticPr fontId="1" type="noConversion"/>
  </si>
  <si>
    <t>灰渣量</t>
    <phoneticPr fontId="1" type="noConversion"/>
  </si>
  <si>
    <t>0.5~2%锅炉厂资料    取3%</t>
    <phoneticPr fontId="1" type="noConversion"/>
  </si>
  <si>
    <t>灰渣总量</t>
    <phoneticPr fontId="1" type="noConversion"/>
  </si>
  <si>
    <t>（1）</t>
    <phoneticPr fontId="1" type="noConversion"/>
  </si>
  <si>
    <t>Gzhb</t>
    <phoneticPr fontId="1" type="noConversion"/>
  </si>
  <si>
    <t>飞灰份额</t>
    <phoneticPr fontId="1" type="noConversion"/>
  </si>
  <si>
    <t>k1</t>
    <phoneticPr fontId="1" type="noConversion"/>
  </si>
  <si>
    <t>底渣份额</t>
    <phoneticPr fontId="1" type="noConversion"/>
  </si>
  <si>
    <t>k2</t>
  </si>
  <si>
    <t>1-k1</t>
    <phoneticPr fontId="1" type="noConversion"/>
  </si>
  <si>
    <t>灰量</t>
    <phoneticPr fontId="1" type="noConversion"/>
  </si>
  <si>
    <t>渣量</t>
    <phoneticPr fontId="1" type="noConversion"/>
  </si>
  <si>
    <t>Gh</t>
    <phoneticPr fontId="1" type="noConversion"/>
  </si>
  <si>
    <t>Gz</t>
    <phoneticPr fontId="1" type="noConversion"/>
  </si>
  <si>
    <t>Gznb*k1</t>
    <phoneticPr fontId="1" type="noConversion"/>
  </si>
  <si>
    <t>Gznb*k2</t>
  </si>
  <si>
    <t>Bg(Aar/100+Qnet,ar*q4/3387000)   P209</t>
    <phoneticPr fontId="1" type="noConversion"/>
  </si>
  <si>
    <t>四</t>
    <phoneticPr fontId="1" type="noConversion"/>
  </si>
  <si>
    <r>
      <t>Nm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/kg</t>
    </r>
    <phoneticPr fontId="1" type="noConversion"/>
  </si>
  <si>
    <t>0.0889（Car+0.375St,ar)+0.265Har-0.0333Oar</t>
    <phoneticPr fontId="1" type="noConversion"/>
  </si>
  <si>
    <r>
      <t>α</t>
    </r>
    <r>
      <rPr>
        <vertAlign val="subscript"/>
        <sz val="12"/>
        <rFont val="宋体"/>
        <family val="3"/>
        <charset val="134"/>
      </rPr>
      <t>ky</t>
    </r>
  </si>
  <si>
    <r>
      <t>Δα</t>
    </r>
    <r>
      <rPr>
        <vertAlign val="subscript"/>
        <sz val="12"/>
        <rFont val="宋体"/>
        <family val="3"/>
        <charset val="134"/>
      </rPr>
      <t>cj</t>
    </r>
  </si>
  <si>
    <r>
      <t>L(</t>
    </r>
    <r>
      <rPr>
        <sz val="12"/>
        <rFont val="宋体"/>
        <family val="3"/>
        <charset val="134"/>
      </rPr>
      <t>烟道长度</t>
    </r>
    <r>
      <rPr>
        <sz val="12"/>
        <rFont val="Times New Roman"/>
        <family val="1"/>
      </rPr>
      <t>)*0.001</t>
    </r>
  </si>
  <si>
    <r>
      <t>α</t>
    </r>
    <r>
      <rPr>
        <vertAlign val="subscript"/>
        <sz val="12"/>
        <rFont val="宋体"/>
        <family val="3"/>
        <charset val="134"/>
      </rPr>
      <t>cj</t>
    </r>
  </si>
  <si>
    <r>
      <t>α</t>
    </r>
    <r>
      <rPr>
        <vertAlign val="subscript"/>
        <sz val="12"/>
        <rFont val="宋体"/>
        <family val="3"/>
        <charset val="134"/>
      </rPr>
      <t>ky</t>
    </r>
    <r>
      <rPr>
        <sz val="12"/>
        <rFont val="宋体"/>
        <family val="3"/>
        <charset val="134"/>
      </rPr>
      <t>+Δα</t>
    </r>
    <r>
      <rPr>
        <vertAlign val="subscript"/>
        <sz val="12"/>
        <rFont val="宋体"/>
        <family val="3"/>
        <charset val="134"/>
      </rPr>
      <t>cj</t>
    </r>
  </si>
  <si>
    <r>
      <t>Δα</t>
    </r>
    <r>
      <rPr>
        <vertAlign val="subscript"/>
        <sz val="12"/>
        <rFont val="宋体"/>
        <family val="3"/>
        <charset val="134"/>
      </rPr>
      <t>cc</t>
    </r>
  </si>
  <si>
    <t>厂家资料</t>
  </si>
  <si>
    <r>
      <t>α</t>
    </r>
    <r>
      <rPr>
        <vertAlign val="subscript"/>
        <sz val="12"/>
        <rFont val="宋体"/>
        <family val="3"/>
        <charset val="134"/>
      </rPr>
      <t>cc</t>
    </r>
  </si>
  <si>
    <r>
      <t>α</t>
    </r>
    <r>
      <rPr>
        <vertAlign val="subscript"/>
        <sz val="12"/>
        <rFont val="宋体"/>
        <family val="3"/>
        <charset val="134"/>
      </rPr>
      <t>xf</t>
    </r>
  </si>
  <si>
    <r>
      <t>V</t>
    </r>
    <r>
      <rPr>
        <vertAlign val="superscript"/>
        <sz val="12"/>
        <rFont val="宋体"/>
        <family val="3"/>
        <charset val="134"/>
      </rPr>
      <t>o</t>
    </r>
    <phoneticPr fontId="1" type="noConversion"/>
  </si>
  <si>
    <t>理论干空气量</t>
    <phoneticPr fontId="1" type="noConversion"/>
  </si>
  <si>
    <t>理论氮气容积</t>
    <phoneticPr fontId="1" type="noConversion"/>
  </si>
  <si>
    <t>V1N2</t>
    <phoneticPr fontId="1" type="noConversion"/>
  </si>
  <si>
    <t>理论二氧化物容积</t>
    <phoneticPr fontId="1" type="noConversion"/>
  </si>
  <si>
    <t>理论水蒸汽容积</t>
    <phoneticPr fontId="1" type="noConversion"/>
  </si>
  <si>
    <r>
      <t>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RO</t>
    </r>
    <r>
      <rPr>
        <vertAlign val="subscript"/>
        <sz val="12"/>
        <rFont val="宋体"/>
        <family val="3"/>
        <charset val="134"/>
      </rPr>
      <t>2</t>
    </r>
  </si>
  <si>
    <r>
      <t>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H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O</t>
    </r>
  </si>
  <si>
    <r>
      <t>Vy</t>
    </r>
    <r>
      <rPr>
        <vertAlign val="superscript"/>
        <sz val="12"/>
        <rFont val="宋体"/>
        <family val="3"/>
        <charset val="134"/>
      </rPr>
      <t>o</t>
    </r>
  </si>
  <si>
    <t>0.79Vo+0.008*Nar</t>
  </si>
  <si>
    <r>
      <t>0.111Har+0.0124Mar+1.293*d*V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/0.804/1000</t>
    </r>
  </si>
  <si>
    <r>
      <t>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N2+V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RO2+V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H2O</t>
    </r>
  </si>
  <si>
    <t>理论烟气容积</t>
    <phoneticPr fontId="1" type="noConversion"/>
  </si>
  <si>
    <t>（22）</t>
  </si>
  <si>
    <t>（23）</t>
  </si>
  <si>
    <t>（24）</t>
  </si>
  <si>
    <t>（25）</t>
  </si>
  <si>
    <t>锅炉尺寸</t>
    <phoneticPr fontId="1" type="noConversion"/>
  </si>
  <si>
    <t>1、工况--标况</t>
    <phoneticPr fontId="14" type="noConversion"/>
  </si>
  <si>
    <t>烟</t>
    <phoneticPr fontId="14" type="noConversion"/>
  </si>
  <si>
    <t>〔1〕</t>
  </si>
  <si>
    <t>工况温度</t>
    <phoneticPr fontId="14" type="noConversion"/>
  </si>
  <si>
    <t>℃</t>
    <phoneticPr fontId="14" type="noConversion"/>
  </si>
  <si>
    <t>t</t>
    <phoneticPr fontId="14" type="noConversion"/>
  </si>
  <si>
    <t>〔2〕</t>
  </si>
  <si>
    <t>工况流量</t>
    <phoneticPr fontId="14" type="noConversion"/>
  </si>
  <si>
    <t>m³/h</t>
    <phoneticPr fontId="14" type="noConversion"/>
  </si>
  <si>
    <r>
      <t>q</t>
    </r>
    <r>
      <rPr>
        <vertAlign val="subscript"/>
        <sz val="12"/>
        <rFont val="宋体"/>
        <family val="3"/>
        <charset val="134"/>
      </rPr>
      <t>v</t>
    </r>
    <phoneticPr fontId="14" type="noConversion"/>
  </si>
  <si>
    <t>〔3〕</t>
  </si>
  <si>
    <t>当地大气压</t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</si>
  <si>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a</t>
    </r>
    <phoneticPr fontId="14" type="noConversion"/>
  </si>
  <si>
    <t>p</t>
    <phoneticPr fontId="14" type="noConversion"/>
  </si>
  <si>
    <t>〔4〕</t>
  </si>
  <si>
    <t>标况温度</t>
    <phoneticPr fontId="14" type="noConversion"/>
  </si>
  <si>
    <t>℃</t>
    <phoneticPr fontId="14" type="noConversion"/>
  </si>
  <si>
    <r>
      <t>t</t>
    </r>
    <r>
      <rPr>
        <vertAlign val="subscript"/>
        <sz val="12"/>
        <rFont val="宋体"/>
        <family val="3"/>
        <charset val="134"/>
      </rPr>
      <t>0</t>
    </r>
    <phoneticPr fontId="14" type="noConversion"/>
  </si>
  <si>
    <t>〔5〕</t>
  </si>
  <si>
    <t>标况压力</t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</si>
  <si>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0</t>
    </r>
    <phoneticPr fontId="14" type="noConversion"/>
  </si>
  <si>
    <t>〔6〕</t>
  </si>
  <si>
    <t>标况流量</t>
    <phoneticPr fontId="14" type="noConversion"/>
  </si>
  <si>
    <t>Nm³/h</t>
    <phoneticPr fontId="14" type="noConversion"/>
  </si>
  <si>
    <r>
      <t>q</t>
    </r>
    <r>
      <rPr>
        <vertAlign val="subscript"/>
        <sz val="12"/>
        <rFont val="宋体"/>
        <family val="3"/>
        <charset val="134"/>
      </rPr>
      <t>v0</t>
    </r>
    <phoneticPr fontId="14" type="noConversion"/>
  </si>
  <si>
    <r>
      <t>q</t>
    </r>
    <r>
      <rPr>
        <vertAlign val="subscript"/>
        <sz val="12"/>
        <rFont val="宋体"/>
        <family val="3"/>
        <charset val="134"/>
      </rPr>
      <t>v0</t>
    </r>
    <r>
      <rPr>
        <sz val="12"/>
        <rFont val="宋体"/>
        <family val="3"/>
        <charset val="134"/>
      </rPr>
      <t>=</t>
    </r>
    <r>
      <rPr>
        <sz val="12"/>
        <rFont val="宋体"/>
        <family val="3"/>
        <charset val="134"/>
      </rPr>
      <t>q</t>
    </r>
    <r>
      <rPr>
        <vertAlign val="subscript"/>
        <sz val="12"/>
        <rFont val="宋体"/>
        <family val="3"/>
        <charset val="134"/>
      </rPr>
      <t>v</t>
    </r>
    <r>
      <rPr>
        <sz val="12"/>
        <rFont val="宋体"/>
        <family val="3"/>
        <charset val="134"/>
      </rPr>
      <t>*(p/p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)*((t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+273)</t>
    </r>
    <r>
      <rPr>
        <sz val="12"/>
        <rFont val="宋体"/>
        <family val="3"/>
        <charset val="134"/>
      </rPr>
      <t>/(t+273))</t>
    </r>
    <phoneticPr fontId="14" type="noConversion"/>
  </si>
  <si>
    <t>2、标况--工况</t>
    <phoneticPr fontId="14" type="noConversion"/>
  </si>
  <si>
    <t>标况温度</t>
    <phoneticPr fontId="14" type="noConversion"/>
  </si>
  <si>
    <t>℃</t>
    <phoneticPr fontId="14" type="noConversion"/>
  </si>
  <si>
    <r>
      <t>t</t>
    </r>
    <r>
      <rPr>
        <vertAlign val="subscript"/>
        <sz val="12"/>
        <rFont val="宋体"/>
        <family val="3"/>
        <charset val="134"/>
      </rPr>
      <t>0</t>
    </r>
    <phoneticPr fontId="14" type="noConversion"/>
  </si>
  <si>
    <t>标况压力</t>
    <phoneticPr fontId="14" type="noConversion"/>
  </si>
  <si>
    <t>pa</t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</si>
  <si>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0</t>
    </r>
    <phoneticPr fontId="14" type="noConversion"/>
  </si>
  <si>
    <t>标况流量</t>
    <phoneticPr fontId="14" type="noConversion"/>
  </si>
  <si>
    <t>Nm³/h</t>
    <phoneticPr fontId="14" type="noConversion"/>
  </si>
  <si>
    <r>
      <t>q</t>
    </r>
    <r>
      <rPr>
        <vertAlign val="subscript"/>
        <sz val="12"/>
        <rFont val="宋体"/>
        <family val="3"/>
        <charset val="134"/>
      </rPr>
      <t>v0</t>
    </r>
    <phoneticPr fontId="14" type="noConversion"/>
  </si>
  <si>
    <t>工况温度</t>
    <phoneticPr fontId="14" type="noConversion"/>
  </si>
  <si>
    <t>t</t>
    <phoneticPr fontId="14" type="noConversion"/>
  </si>
  <si>
    <t>当地大气压</t>
    <phoneticPr fontId="14" type="noConversion"/>
  </si>
  <si>
    <t>p</t>
    <phoneticPr fontId="14" type="noConversion"/>
  </si>
  <si>
    <t>工况流量</t>
    <phoneticPr fontId="14" type="noConversion"/>
  </si>
  <si>
    <t>m³/h</t>
    <phoneticPr fontId="14" type="noConversion"/>
  </si>
  <si>
    <r>
      <t>q</t>
    </r>
    <r>
      <rPr>
        <vertAlign val="subscript"/>
        <sz val="12"/>
        <rFont val="宋体"/>
        <family val="3"/>
        <charset val="134"/>
      </rPr>
      <t>v</t>
    </r>
    <phoneticPr fontId="14" type="noConversion"/>
  </si>
  <si>
    <r>
      <t>q</t>
    </r>
    <r>
      <rPr>
        <vertAlign val="subscript"/>
        <sz val="12"/>
        <rFont val="宋体"/>
        <family val="3"/>
        <charset val="134"/>
      </rPr>
      <t>v</t>
    </r>
    <r>
      <rPr>
        <sz val="12"/>
        <rFont val="宋体"/>
        <family val="3"/>
        <charset val="134"/>
      </rPr>
      <t>=</t>
    </r>
    <r>
      <rPr>
        <sz val="12"/>
        <rFont val="宋体"/>
        <family val="3"/>
        <charset val="134"/>
      </rPr>
      <t>q</t>
    </r>
    <r>
      <rPr>
        <vertAlign val="subscript"/>
        <sz val="12"/>
        <rFont val="宋体"/>
        <family val="3"/>
        <charset val="134"/>
      </rPr>
      <t>v0</t>
    </r>
    <r>
      <rPr>
        <sz val="12"/>
        <rFont val="宋体"/>
        <family val="3"/>
        <charset val="134"/>
      </rPr>
      <t>*(p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/p)*((t</t>
    </r>
    <r>
      <rPr>
        <sz val="12"/>
        <rFont val="宋体"/>
        <family val="3"/>
        <charset val="134"/>
      </rPr>
      <t>+273)</t>
    </r>
    <r>
      <rPr>
        <sz val="12"/>
        <rFont val="宋体"/>
        <family val="3"/>
        <charset val="134"/>
      </rPr>
      <t>/(t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+273))</t>
    </r>
    <phoneticPr fontId="14" type="noConversion"/>
  </si>
  <si>
    <t>名称</t>
    <phoneticPr fontId="14" type="noConversion"/>
  </si>
  <si>
    <t>符号</t>
    <phoneticPr fontId="14" type="noConversion"/>
  </si>
  <si>
    <t>单位</t>
    <phoneticPr fontId="14" type="noConversion"/>
  </si>
  <si>
    <t>计算公式</t>
    <phoneticPr fontId="14" type="noConversion"/>
  </si>
  <si>
    <t>结果</t>
    <phoneticPr fontId="14" type="noConversion"/>
  </si>
  <si>
    <t>t</t>
    <phoneticPr fontId="14" type="noConversion"/>
  </si>
  <si>
    <t>设计值</t>
  </si>
  <si>
    <r>
      <t>p</t>
    </r>
    <r>
      <rPr>
        <vertAlign val="subscript"/>
        <sz val="12"/>
        <rFont val="宋体"/>
        <family val="3"/>
        <charset val="134"/>
      </rPr>
      <t>a</t>
    </r>
    <phoneticPr fontId="14" type="noConversion"/>
  </si>
  <si>
    <t>当地大气压</t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</si>
  <si>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0</t>
    </r>
    <phoneticPr fontId="14" type="noConversion"/>
  </si>
  <si>
    <t>烟风流量（工况）</t>
    <phoneticPr fontId="14" type="noConversion"/>
  </si>
  <si>
    <t>q</t>
    <phoneticPr fontId="14" type="noConversion"/>
  </si>
  <si>
    <r>
      <t>t</t>
    </r>
    <r>
      <rPr>
        <vertAlign val="subscript"/>
        <sz val="12"/>
        <rFont val="宋体"/>
        <family val="3"/>
        <charset val="134"/>
      </rPr>
      <t>1</t>
    </r>
    <phoneticPr fontId="14" type="noConversion"/>
  </si>
  <si>
    <t>℃</t>
    <phoneticPr fontId="14" type="noConversion"/>
  </si>
  <si>
    <t>〔7〕</t>
  </si>
  <si>
    <t>风机全压</t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</si>
  <si>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1</t>
    </r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</si>
  <si>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a</t>
    </r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</si>
  <si>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1</t>
    </r>
    <r>
      <rPr>
        <sz val="12"/>
        <rFont val="宋体"/>
        <family val="3"/>
        <charset val="134"/>
      </rPr>
      <t>=</t>
    </r>
    <r>
      <rPr>
        <sz val="12"/>
        <rFont val="宋体"/>
        <family val="3"/>
        <charset val="134"/>
      </rPr>
      <t>p*(101325/p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)</t>
    </r>
    <r>
      <rPr>
        <sz val="12"/>
        <rFont val="宋体"/>
        <family val="3"/>
        <charset val="134"/>
      </rPr>
      <t>*((t+273)/(t</t>
    </r>
    <r>
      <rPr>
        <vertAlign val="subscript"/>
        <sz val="12"/>
        <rFont val="宋体"/>
        <family val="3"/>
        <charset val="134"/>
      </rPr>
      <t>1</t>
    </r>
    <r>
      <rPr>
        <sz val="12"/>
        <rFont val="宋体"/>
        <family val="3"/>
        <charset val="134"/>
      </rPr>
      <t>+273))</t>
    </r>
    <phoneticPr fontId="14" type="noConversion"/>
  </si>
  <si>
    <t>〔8〕</t>
  </si>
  <si>
    <t>风机选用全压</t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</si>
  <si>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/>
    </r>
  </si>
  <si>
    <t>〔9〕</t>
  </si>
  <si>
    <t>风机选用流量</t>
    <phoneticPr fontId="14" type="noConversion"/>
  </si>
  <si>
    <r>
      <t>q</t>
    </r>
    <r>
      <rPr>
        <vertAlign val="subscript"/>
        <sz val="12"/>
        <rFont val="宋体"/>
        <family val="3"/>
        <charset val="134"/>
      </rPr>
      <t>2</t>
    </r>
    <phoneticPr fontId="14" type="noConversion"/>
  </si>
  <si>
    <t>m³/h</t>
    <phoneticPr fontId="14" type="noConversion"/>
  </si>
  <si>
    <t>〔10〕</t>
  </si>
  <si>
    <t>〔11〕</t>
  </si>
  <si>
    <t>η1</t>
    <phoneticPr fontId="14" type="noConversion"/>
  </si>
  <si>
    <t>〔12〕</t>
  </si>
  <si>
    <t>电动机效率</t>
    <phoneticPr fontId="14" type="noConversion"/>
  </si>
  <si>
    <r>
      <t>η</t>
    </r>
    <r>
      <rPr>
        <vertAlign val="subscript"/>
        <sz val="12"/>
        <rFont val="宋体"/>
        <family val="3"/>
        <charset val="134"/>
      </rPr>
      <t>d</t>
    </r>
    <phoneticPr fontId="14" type="noConversion"/>
  </si>
  <si>
    <t>〔13〕</t>
  </si>
  <si>
    <t>风机轴功率</t>
    <phoneticPr fontId="14" type="noConversion"/>
  </si>
  <si>
    <t>P'</t>
    <phoneticPr fontId="14" type="noConversion"/>
  </si>
  <si>
    <t>kw</t>
    <phoneticPr fontId="14" type="noConversion"/>
  </si>
  <si>
    <r>
      <t>P'=p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*q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/η</t>
    </r>
    <phoneticPr fontId="14" type="noConversion"/>
  </si>
  <si>
    <t>〔14〕</t>
  </si>
  <si>
    <t>电机安全裕量</t>
    <phoneticPr fontId="14" type="noConversion"/>
  </si>
  <si>
    <t>K</t>
    <phoneticPr fontId="14" type="noConversion"/>
  </si>
  <si>
    <t>〔15〕</t>
  </si>
  <si>
    <t>〔16〕</t>
  </si>
  <si>
    <t>名称</t>
    <phoneticPr fontId="14" type="noConversion"/>
  </si>
  <si>
    <t>符号</t>
    <phoneticPr fontId="14" type="noConversion"/>
  </si>
  <si>
    <t>单位</t>
    <phoneticPr fontId="14" type="noConversion"/>
  </si>
  <si>
    <t>计算公式</t>
    <phoneticPr fontId="14" type="noConversion"/>
  </si>
  <si>
    <t>风机效率</t>
    <phoneticPr fontId="14" type="noConversion"/>
  </si>
  <si>
    <t>电机功率</t>
    <phoneticPr fontId="14" type="noConversion"/>
  </si>
  <si>
    <t>P</t>
    <phoneticPr fontId="14" type="noConversion"/>
  </si>
  <si>
    <r>
      <t>P=K*P'/η</t>
    </r>
    <r>
      <rPr>
        <vertAlign val="subscript"/>
        <sz val="12"/>
        <rFont val="宋体"/>
        <family val="3"/>
        <charset val="134"/>
      </rPr>
      <t>d</t>
    </r>
    <phoneticPr fontId="14" type="noConversion"/>
  </si>
  <si>
    <t>一次风</t>
    <phoneticPr fontId="14" type="noConversion"/>
  </si>
  <si>
    <t>二次风</t>
    <phoneticPr fontId="14" type="noConversion"/>
  </si>
  <si>
    <t>海拔</t>
    <phoneticPr fontId="1" type="noConversion"/>
  </si>
  <si>
    <t>m</t>
    <phoneticPr fontId="1" type="noConversion"/>
  </si>
  <si>
    <t>A</t>
    <phoneticPr fontId="1" type="noConversion"/>
  </si>
  <si>
    <t>大气压</t>
    <phoneticPr fontId="1" type="noConversion"/>
  </si>
  <si>
    <t>pa</t>
    <phoneticPr fontId="1" type="noConversion"/>
  </si>
  <si>
    <t>P</t>
    <phoneticPr fontId="1" type="noConversion"/>
  </si>
  <si>
    <t>海拔大气压换算</t>
    <phoneticPr fontId="14" type="noConversion"/>
  </si>
  <si>
    <t>3、一次风机计算</t>
    <phoneticPr fontId="14" type="noConversion"/>
  </si>
  <si>
    <t>电机功率</t>
    <phoneticPr fontId="14" type="noConversion"/>
  </si>
  <si>
    <t>P</t>
    <phoneticPr fontId="14" type="noConversion"/>
  </si>
  <si>
    <t>kw</t>
    <phoneticPr fontId="14" type="noConversion"/>
  </si>
  <si>
    <r>
      <t>P=K*P'/η</t>
    </r>
    <r>
      <rPr>
        <vertAlign val="subscript"/>
        <sz val="12"/>
        <rFont val="宋体"/>
        <family val="3"/>
        <charset val="134"/>
      </rPr>
      <t>d</t>
    </r>
    <phoneticPr fontId="14" type="noConversion"/>
  </si>
  <si>
    <t>风机效率</t>
    <phoneticPr fontId="14" type="noConversion"/>
  </si>
  <si>
    <t>锅炉额定耗煤量</t>
    <phoneticPr fontId="14" type="noConversion"/>
  </si>
  <si>
    <t>Bj</t>
    <phoneticPr fontId="14" type="noConversion"/>
  </si>
  <si>
    <t>t/h</t>
    <phoneticPr fontId="14" type="noConversion"/>
  </si>
  <si>
    <t>运输不平衡系数</t>
    <phoneticPr fontId="14" type="noConversion"/>
  </si>
  <si>
    <t>K</t>
    <phoneticPr fontId="14" type="noConversion"/>
  </si>
  <si>
    <t>-</t>
    <phoneticPr fontId="14" type="noConversion"/>
  </si>
  <si>
    <t>运煤系统有效作业时间</t>
    <phoneticPr fontId="14" type="noConversion"/>
  </si>
  <si>
    <t>t</t>
    <phoneticPr fontId="14" type="noConversion"/>
  </si>
  <si>
    <t>h</t>
    <phoneticPr fontId="14" type="noConversion"/>
  </si>
  <si>
    <t>三班≤16h</t>
    <phoneticPr fontId="1" type="noConversion"/>
  </si>
  <si>
    <t>运煤系统运输量</t>
    <phoneticPr fontId="14" type="noConversion"/>
  </si>
  <si>
    <t>Q</t>
    <phoneticPr fontId="14" type="noConversion"/>
  </si>
  <si>
    <t>B</t>
    <phoneticPr fontId="14" type="noConversion"/>
  </si>
  <si>
    <t>煤堆通道占用系数</t>
    <phoneticPr fontId="14" type="noConversion"/>
  </si>
  <si>
    <t>N</t>
    <phoneticPr fontId="14" type="noConversion"/>
  </si>
  <si>
    <t>-</t>
    <phoneticPr fontId="14" type="noConversion"/>
  </si>
  <si>
    <t>汽车1.5火车1.3</t>
    <phoneticPr fontId="14" type="noConversion"/>
  </si>
  <si>
    <t>煤堆形状系数</t>
    <phoneticPr fontId="14" type="noConversion"/>
  </si>
  <si>
    <t>煤堆高度</t>
    <phoneticPr fontId="14" type="noConversion"/>
  </si>
  <si>
    <t>H</t>
    <phoneticPr fontId="14" type="noConversion"/>
  </si>
  <si>
    <t>m</t>
    <phoneticPr fontId="14" type="noConversion"/>
  </si>
  <si>
    <t>装载机2~3 推煤机≤6</t>
    <phoneticPr fontId="14" type="noConversion"/>
  </si>
  <si>
    <t>煤的堆密度</t>
    <phoneticPr fontId="14" type="noConversion"/>
  </si>
  <si>
    <t>p</t>
    <phoneticPr fontId="14" type="noConversion"/>
  </si>
  <si>
    <t>t/m³</t>
    <phoneticPr fontId="14" type="noConversion"/>
  </si>
  <si>
    <t>煤场面积</t>
    <phoneticPr fontId="14" type="noConversion"/>
  </si>
  <si>
    <t>F</t>
    <phoneticPr fontId="14" type="noConversion"/>
  </si>
  <si>
    <t>㎡</t>
    <phoneticPr fontId="14" type="noConversion"/>
  </si>
  <si>
    <t>长</t>
    <phoneticPr fontId="14" type="noConversion"/>
  </si>
  <si>
    <t>宽</t>
    <phoneticPr fontId="14" type="noConversion"/>
  </si>
  <si>
    <t>L</t>
    <phoneticPr fontId="14" type="noConversion"/>
  </si>
  <si>
    <t>B</t>
    <phoneticPr fontId="14" type="noConversion"/>
  </si>
  <si>
    <t>V</t>
    <phoneticPr fontId="14" type="noConversion"/>
  </si>
  <si>
    <t>m³</t>
    <phoneticPr fontId="14" type="noConversion"/>
  </si>
  <si>
    <t>二班10~12</t>
    <phoneticPr fontId="1" type="noConversion"/>
  </si>
  <si>
    <t>φ</t>
  </si>
  <si>
    <t>%</t>
  </si>
  <si>
    <t>已知</t>
  </si>
  <si>
    <t>Pb</t>
  </si>
  <si>
    <t>kPa</t>
  </si>
  <si>
    <t>t</t>
  </si>
  <si>
    <t>℃</t>
  </si>
  <si>
    <t>Ps</t>
  </si>
  <si>
    <t>查水蒸汽表</t>
  </si>
  <si>
    <t>Pv</t>
  </si>
  <si>
    <t>φ*Ps/100</t>
  </si>
  <si>
    <t>d</t>
  </si>
  <si>
    <t>d=622*Pv/(Pb-Pv)，如无气象资料，可取d=10</t>
  </si>
  <si>
    <r>
      <t>ρ</t>
    </r>
    <r>
      <rPr>
        <vertAlign val="subscript"/>
        <sz val="12"/>
        <rFont val="宋体"/>
        <family val="3"/>
        <charset val="134"/>
      </rPr>
      <t>ao</t>
    </r>
  </si>
  <si>
    <r>
      <t>kg/Nm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空气</t>
    </r>
  </si>
  <si>
    <t>(1+0.001d)/(1/1.293+0.001d/0.804)</t>
  </si>
  <si>
    <r>
      <t>V</t>
    </r>
    <r>
      <rPr>
        <vertAlign val="superscript"/>
        <sz val="12"/>
        <rFont val="宋体"/>
        <family val="3"/>
        <charset val="134"/>
      </rPr>
      <t>o'</t>
    </r>
  </si>
  <si>
    <r>
      <t>Nm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/kg燃料</t>
    </r>
  </si>
  <si>
    <t>(1+0.0016d)Vo</t>
  </si>
  <si>
    <t>多年平均相对湿度</t>
    <phoneticPr fontId="1" type="noConversion"/>
  </si>
  <si>
    <t>多年平均气压</t>
    <phoneticPr fontId="1" type="noConversion"/>
  </si>
  <si>
    <t>多年平均气温</t>
    <phoneticPr fontId="1" type="noConversion"/>
  </si>
  <si>
    <t>多年平均气温下的饱和压力</t>
    <phoneticPr fontId="1" type="noConversion"/>
  </si>
  <si>
    <t>水蒸气分压力</t>
    <phoneticPr fontId="1" type="noConversion"/>
  </si>
  <si>
    <t>空气的绝对湿度（含湿量）</t>
    <phoneticPr fontId="1" type="noConversion"/>
  </si>
  <si>
    <t>标况下湿空气密度</t>
    <phoneticPr fontId="1" type="noConversion"/>
  </si>
  <si>
    <t>理论湿空气量</t>
    <phoneticPr fontId="1" type="noConversion"/>
  </si>
  <si>
    <t>g水/kg空气</t>
    <phoneticPr fontId="1" type="noConversion"/>
  </si>
  <si>
    <t>理论空气量</t>
    <phoneticPr fontId="1" type="noConversion"/>
  </si>
  <si>
    <t>五</t>
    <phoneticPr fontId="1" type="noConversion"/>
  </si>
  <si>
    <t>理论烟气量</t>
    <phoneticPr fontId="1" type="noConversion"/>
  </si>
  <si>
    <t>1.866(Car+0.375Sar)/100</t>
    <phoneticPr fontId="1" type="noConversion"/>
  </si>
  <si>
    <r>
      <t>Gy</t>
    </r>
    <r>
      <rPr>
        <vertAlign val="superscript"/>
        <sz val="12"/>
        <rFont val="宋体"/>
        <family val="3"/>
        <charset val="134"/>
      </rPr>
      <t>o</t>
    </r>
  </si>
  <si>
    <t>kg/kg燃料</t>
  </si>
  <si>
    <t>1-Aar/100+(1+d/1000)*1.293*α*Vo</t>
  </si>
  <si>
    <r>
      <t>ρy</t>
    </r>
    <r>
      <rPr>
        <vertAlign val="superscript"/>
        <sz val="12"/>
        <rFont val="宋体"/>
        <family val="3"/>
        <charset val="134"/>
      </rPr>
      <t>o</t>
    </r>
  </si>
  <si>
    <r>
      <t>kg/Nm</t>
    </r>
    <r>
      <rPr>
        <vertAlign val="superscript"/>
        <sz val="12"/>
        <rFont val="宋体"/>
        <family val="3"/>
        <charset val="134"/>
      </rPr>
      <t>3</t>
    </r>
  </si>
  <si>
    <r>
      <t>Gy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/Vy</t>
    </r>
    <r>
      <rPr>
        <vertAlign val="superscript"/>
        <sz val="12"/>
        <rFont val="宋体"/>
        <family val="3"/>
        <charset val="134"/>
      </rPr>
      <t>o</t>
    </r>
  </si>
  <si>
    <t>1kg燃料生成理论湿烟气的重量</t>
    <phoneticPr fontId="1" type="noConversion"/>
  </si>
  <si>
    <t>标况下理论湿烟气密度</t>
    <phoneticPr fontId="1" type="noConversion"/>
  </si>
  <si>
    <t>六</t>
    <phoneticPr fontId="1" type="noConversion"/>
  </si>
  <si>
    <t>空气烟气参数</t>
    <phoneticPr fontId="1" type="noConversion"/>
  </si>
  <si>
    <t>αl</t>
  </si>
  <si>
    <r>
      <t>Δα</t>
    </r>
    <r>
      <rPr>
        <vertAlign val="subscript"/>
        <sz val="12"/>
        <rFont val="宋体"/>
        <family val="3"/>
        <charset val="134"/>
      </rPr>
      <t>fL</t>
    </r>
  </si>
  <si>
    <r>
      <t>α</t>
    </r>
    <r>
      <rPr>
        <vertAlign val="subscript"/>
        <sz val="12"/>
        <rFont val="宋体"/>
        <family val="3"/>
        <charset val="134"/>
      </rPr>
      <t>fL</t>
    </r>
  </si>
  <si>
    <r>
      <t>Δα</t>
    </r>
    <r>
      <rPr>
        <vertAlign val="subscript"/>
        <sz val="12"/>
        <rFont val="宋体"/>
        <family val="3"/>
        <charset val="134"/>
      </rPr>
      <t>gr</t>
    </r>
  </si>
  <si>
    <r>
      <t>α</t>
    </r>
    <r>
      <rPr>
        <vertAlign val="subscript"/>
        <sz val="12"/>
        <rFont val="宋体"/>
        <family val="3"/>
        <charset val="134"/>
      </rPr>
      <t>gr</t>
    </r>
  </si>
  <si>
    <r>
      <t>Δα</t>
    </r>
    <r>
      <rPr>
        <vertAlign val="subscript"/>
        <sz val="12"/>
        <rFont val="宋体"/>
        <family val="3"/>
        <charset val="134"/>
      </rPr>
      <t>dr</t>
    </r>
  </si>
  <si>
    <r>
      <t>α</t>
    </r>
    <r>
      <rPr>
        <vertAlign val="subscript"/>
        <sz val="12"/>
        <rFont val="宋体"/>
        <family val="3"/>
        <charset val="134"/>
      </rPr>
      <t>dr</t>
    </r>
  </si>
  <si>
    <r>
      <t>Δα</t>
    </r>
    <r>
      <rPr>
        <vertAlign val="subscript"/>
        <sz val="12"/>
        <rFont val="宋体"/>
        <family val="3"/>
        <charset val="134"/>
      </rPr>
      <t>sm</t>
    </r>
  </si>
  <si>
    <r>
      <t>α</t>
    </r>
    <r>
      <rPr>
        <vertAlign val="subscript"/>
        <sz val="12"/>
        <rFont val="宋体"/>
        <family val="3"/>
        <charset val="134"/>
      </rPr>
      <t>sm</t>
    </r>
  </si>
  <si>
    <r>
      <t>Δα</t>
    </r>
    <r>
      <rPr>
        <vertAlign val="subscript"/>
        <sz val="12"/>
        <rFont val="宋体"/>
        <family val="3"/>
        <charset val="134"/>
      </rPr>
      <t>ky</t>
    </r>
  </si>
  <si>
    <r>
      <t>α</t>
    </r>
    <r>
      <rPr>
        <vertAlign val="subscript"/>
        <sz val="12"/>
        <rFont val="宋体"/>
        <family val="3"/>
        <charset val="134"/>
      </rPr>
      <t>ky</t>
    </r>
  </si>
  <si>
    <r>
      <t>Δα</t>
    </r>
    <r>
      <rPr>
        <vertAlign val="subscript"/>
        <sz val="12"/>
        <rFont val="宋体"/>
        <family val="3"/>
        <charset val="134"/>
      </rPr>
      <t>cj</t>
    </r>
  </si>
  <si>
    <r>
      <t>L(</t>
    </r>
    <r>
      <rPr>
        <sz val="12"/>
        <rFont val="宋体"/>
        <family val="3"/>
        <charset val="134"/>
      </rPr>
      <t>烟道长度</t>
    </r>
    <r>
      <rPr>
        <sz val="12"/>
        <rFont val="Times New Roman"/>
        <family val="1"/>
      </rPr>
      <t>)*0.001</t>
    </r>
  </si>
  <si>
    <r>
      <t>α</t>
    </r>
    <r>
      <rPr>
        <vertAlign val="subscript"/>
        <sz val="12"/>
        <rFont val="宋体"/>
        <family val="3"/>
        <charset val="134"/>
      </rPr>
      <t>cj</t>
    </r>
  </si>
  <si>
    <r>
      <t>α</t>
    </r>
    <r>
      <rPr>
        <vertAlign val="subscript"/>
        <sz val="12"/>
        <rFont val="宋体"/>
        <family val="3"/>
        <charset val="134"/>
      </rPr>
      <t>ky</t>
    </r>
    <r>
      <rPr>
        <sz val="12"/>
        <rFont val="宋体"/>
        <family val="3"/>
        <charset val="134"/>
      </rPr>
      <t>+Δα</t>
    </r>
    <r>
      <rPr>
        <vertAlign val="subscript"/>
        <sz val="12"/>
        <rFont val="宋体"/>
        <family val="3"/>
        <charset val="134"/>
      </rPr>
      <t>cj</t>
    </r>
  </si>
  <si>
    <r>
      <t>Δα</t>
    </r>
    <r>
      <rPr>
        <vertAlign val="subscript"/>
        <sz val="12"/>
        <rFont val="宋体"/>
        <family val="3"/>
        <charset val="134"/>
      </rPr>
      <t>cc</t>
    </r>
  </si>
  <si>
    <r>
      <t>α</t>
    </r>
    <r>
      <rPr>
        <vertAlign val="subscript"/>
        <sz val="12"/>
        <rFont val="宋体"/>
        <family val="3"/>
        <charset val="134"/>
      </rPr>
      <t>cc</t>
    </r>
  </si>
  <si>
    <r>
      <t>α</t>
    </r>
    <r>
      <rPr>
        <vertAlign val="subscript"/>
        <sz val="12"/>
        <rFont val="宋体"/>
        <family val="3"/>
        <charset val="134"/>
      </rPr>
      <t>cj</t>
    </r>
    <r>
      <rPr>
        <sz val="12"/>
        <rFont val="宋体"/>
        <family val="3"/>
        <charset val="134"/>
      </rPr>
      <t>+Δα</t>
    </r>
    <r>
      <rPr>
        <vertAlign val="subscript"/>
        <sz val="12"/>
        <rFont val="宋体"/>
        <family val="3"/>
        <charset val="134"/>
      </rPr>
      <t>cc</t>
    </r>
  </si>
  <si>
    <r>
      <t>Δα</t>
    </r>
    <r>
      <rPr>
        <vertAlign val="subscript"/>
        <sz val="12"/>
        <rFont val="宋体"/>
        <family val="3"/>
        <charset val="134"/>
      </rPr>
      <t>yd2</t>
    </r>
  </si>
  <si>
    <r>
      <t>α</t>
    </r>
    <r>
      <rPr>
        <vertAlign val="subscript"/>
        <sz val="12"/>
        <rFont val="宋体"/>
        <family val="3"/>
        <charset val="134"/>
      </rPr>
      <t>xf</t>
    </r>
  </si>
  <si>
    <r>
      <t>α</t>
    </r>
    <r>
      <rPr>
        <vertAlign val="subscript"/>
        <sz val="12"/>
        <rFont val="宋体"/>
        <family val="3"/>
        <charset val="134"/>
      </rPr>
      <t>cc</t>
    </r>
    <r>
      <rPr>
        <sz val="12"/>
        <rFont val="Times New Roman"/>
        <family val="1"/>
      </rPr>
      <t>+</t>
    </r>
    <r>
      <rPr>
        <sz val="12"/>
        <rFont val="宋体"/>
        <family val="3"/>
        <charset val="134"/>
      </rPr>
      <t>Δα</t>
    </r>
    <r>
      <rPr>
        <vertAlign val="subscript"/>
        <sz val="12"/>
        <rFont val="Times New Roman"/>
        <family val="1"/>
      </rPr>
      <t>yd2</t>
    </r>
  </si>
  <si>
    <t>Vy</t>
  </si>
  <si>
    <r>
      <t>Nm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/kg</t>
    </r>
  </si>
  <si>
    <r>
      <t>Vy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+(αky-1)V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+0.0161(αky-1)V</t>
    </r>
    <r>
      <rPr>
        <vertAlign val="superscript"/>
        <sz val="12"/>
        <rFont val="宋体"/>
        <family val="3"/>
        <charset val="134"/>
      </rPr>
      <t>o</t>
    </r>
  </si>
  <si>
    <t>Gy</t>
  </si>
  <si>
    <t>kg/kg</t>
  </si>
  <si>
    <t>管式</t>
  </si>
  <si>
    <t>T'ky.p</t>
  </si>
  <si>
    <t>T'ky.s</t>
  </si>
  <si>
    <t>T"ky.p</t>
  </si>
  <si>
    <t>T"ky.s</t>
  </si>
  <si>
    <t>T"y</t>
  </si>
  <si>
    <t xml:space="preserve">    引风机入口过剩空气系数</t>
    <phoneticPr fontId="1" type="noConversion"/>
  </si>
  <si>
    <t>旋风分离器出口过剩空气系数</t>
    <phoneticPr fontId="1" type="noConversion"/>
  </si>
  <si>
    <t>空予器至除尘器烟道漏风系数</t>
    <phoneticPr fontId="1" type="noConversion"/>
  </si>
  <si>
    <t>除尘器出口至引风机烟道漏风系数</t>
    <phoneticPr fontId="1" type="noConversion"/>
  </si>
  <si>
    <t>1Kg燃料产生的空预器出口湿烟气容积</t>
    <phoneticPr fontId="1" type="noConversion"/>
  </si>
  <si>
    <t>1Kg燃料产生的空预器出口湿烟气质量</t>
    <phoneticPr fontId="1" type="noConversion"/>
  </si>
  <si>
    <t>空预器</t>
    <phoneticPr fontId="1" type="noConversion"/>
  </si>
  <si>
    <t>锅炉排烟温度</t>
    <phoneticPr fontId="1" type="noConversion"/>
  </si>
  <si>
    <t>空预器一次风进口温度</t>
    <phoneticPr fontId="1" type="noConversion"/>
  </si>
  <si>
    <t>空预器二次风进口温度</t>
    <phoneticPr fontId="1" type="noConversion"/>
  </si>
  <si>
    <t>空预器一次风出口温度</t>
    <phoneticPr fontId="1" type="noConversion"/>
  </si>
  <si>
    <t>空预器二次风出口温度</t>
    <phoneticPr fontId="1" type="noConversion"/>
  </si>
  <si>
    <r>
      <t>1-Aar/100+(1+d/1000)*1.293*αky*V</t>
    </r>
    <r>
      <rPr>
        <vertAlign val="superscript"/>
        <sz val="12"/>
        <rFont val="宋体"/>
        <family val="3"/>
        <charset val="134"/>
      </rPr>
      <t>o</t>
    </r>
    <phoneticPr fontId="1" type="noConversion"/>
  </si>
  <si>
    <t>七</t>
    <phoneticPr fontId="1" type="noConversion"/>
  </si>
  <si>
    <t>锅炉各处空气量</t>
    <phoneticPr fontId="1" type="noConversion"/>
  </si>
  <si>
    <r>
      <t>V</t>
    </r>
    <r>
      <rPr>
        <vertAlign val="superscript"/>
        <sz val="12"/>
        <rFont val="宋体"/>
        <family val="3"/>
        <charset val="134"/>
      </rPr>
      <t>o'</t>
    </r>
  </si>
  <si>
    <r>
      <t>Nm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/kg燃料</t>
    </r>
  </si>
  <si>
    <r>
      <t>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ks</t>
    </r>
  </si>
  <si>
    <r>
      <t>Nm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/kg</t>
    </r>
  </si>
  <si>
    <r>
      <t>αl*V</t>
    </r>
    <r>
      <rPr>
        <vertAlign val="superscript"/>
        <sz val="12"/>
        <rFont val="宋体"/>
        <family val="3"/>
        <charset val="134"/>
      </rPr>
      <t>o'</t>
    </r>
  </si>
  <si>
    <t>Bj</t>
  </si>
  <si>
    <t>kg/h</t>
  </si>
  <si>
    <t>燃料灰渣量计算表</t>
  </si>
  <si>
    <r>
      <t>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k</t>
    </r>
  </si>
  <si>
    <r>
      <t>Nm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/h</t>
    </r>
  </si>
  <si>
    <r>
      <t>Bj*V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ks</t>
    </r>
  </si>
  <si>
    <t>理论空气量（体积,湿）</t>
    <phoneticPr fontId="1" type="noConversion"/>
  </si>
  <si>
    <t>炉膛出口过剩空气系数</t>
    <phoneticPr fontId="1" type="noConversion"/>
  </si>
  <si>
    <t>实际空气量（体积,湿）</t>
    <phoneticPr fontId="1" type="noConversion"/>
  </si>
  <si>
    <t>计算燃料消耗量</t>
    <phoneticPr fontId="1" type="noConversion"/>
  </si>
  <si>
    <t>实际空气总量（体积，湿）</t>
    <phoneticPr fontId="1" type="noConversion"/>
  </si>
  <si>
    <t xml:space="preserve">        一次风份额</t>
  </si>
  <si>
    <r>
      <t>β</t>
    </r>
    <r>
      <rPr>
        <vertAlign val="subscript"/>
        <sz val="12"/>
        <rFont val="Times New Roman"/>
        <family val="1"/>
      </rPr>
      <t>1</t>
    </r>
  </si>
  <si>
    <t xml:space="preserve">        冷风温度（计算温度）</t>
  </si>
  <si>
    <t xml:space="preserve">        当地年平均气压</t>
  </si>
  <si>
    <t xml:space="preserve">        冷一次风量（湿-标准态）</t>
  </si>
  <si>
    <r>
      <t>V</t>
    </r>
    <r>
      <rPr>
        <vertAlign val="subscript"/>
        <sz val="12"/>
        <rFont val="Times New Roman"/>
        <family val="1"/>
      </rPr>
      <t>NLf 1</t>
    </r>
  </si>
  <si>
    <r>
      <t>β</t>
    </r>
    <r>
      <rPr>
        <vertAlign val="subscript"/>
        <sz val="12"/>
        <rFont val="宋体"/>
        <family val="3"/>
        <charset val="134"/>
      </rPr>
      <t>1</t>
    </r>
    <r>
      <rPr>
        <sz val="12"/>
        <rFont val="宋体"/>
        <family val="3"/>
        <charset val="134"/>
      </rPr>
      <t>*V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k</t>
    </r>
  </si>
  <si>
    <t xml:space="preserve">        冷一次风量（湿-实态）</t>
  </si>
  <si>
    <r>
      <t>V</t>
    </r>
    <r>
      <rPr>
        <vertAlign val="subscript"/>
        <sz val="12"/>
        <rFont val="Times New Roman"/>
        <family val="1"/>
      </rPr>
      <t>Lf 1</t>
    </r>
  </si>
  <si>
    <r>
      <t>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/h</t>
    </r>
  </si>
  <si>
    <r>
      <t>V</t>
    </r>
    <r>
      <rPr>
        <vertAlign val="subscript"/>
        <sz val="12"/>
        <rFont val="Times New Roman"/>
        <family val="1"/>
      </rPr>
      <t>NLf 1</t>
    </r>
    <r>
      <rPr>
        <sz val="12"/>
        <rFont val="Times New Roman"/>
        <family val="1"/>
      </rPr>
      <t>*(273+T ' ky.p)/273*101.325/Pb</t>
    </r>
  </si>
  <si>
    <t xml:space="preserve">        标况下湿空气密度</t>
  </si>
  <si>
    <r>
      <t>ρ</t>
    </r>
    <r>
      <rPr>
        <vertAlign val="subscript"/>
        <sz val="12"/>
        <rFont val="宋体"/>
        <family val="3"/>
        <charset val="134"/>
      </rPr>
      <t>ao</t>
    </r>
  </si>
  <si>
    <r>
      <t>kg/Nm</t>
    </r>
    <r>
      <rPr>
        <vertAlign val="superscript"/>
        <sz val="12"/>
        <rFont val="宋体"/>
        <family val="3"/>
        <charset val="134"/>
      </rPr>
      <t>3</t>
    </r>
  </si>
  <si>
    <t xml:space="preserve">        冷一次风量（质量流量）</t>
  </si>
  <si>
    <r>
      <t>G</t>
    </r>
    <r>
      <rPr>
        <vertAlign val="subscript"/>
        <sz val="12"/>
        <rFont val="Times New Roman"/>
        <family val="1"/>
      </rPr>
      <t>Lf 1</t>
    </r>
  </si>
  <si>
    <r>
      <t>ρ</t>
    </r>
    <r>
      <rPr>
        <vertAlign val="subscript"/>
        <sz val="12"/>
        <rFont val="Times New Roman"/>
        <family val="1"/>
      </rPr>
      <t>ao</t>
    </r>
    <r>
      <rPr>
        <sz val="12"/>
        <rFont val="Times New Roman"/>
        <family val="1"/>
      </rPr>
      <t>*V</t>
    </r>
    <r>
      <rPr>
        <vertAlign val="subscript"/>
        <sz val="12"/>
        <rFont val="Times New Roman"/>
        <family val="1"/>
      </rPr>
      <t>NLf 1</t>
    </r>
  </si>
  <si>
    <t xml:space="preserve">        冷一次风湿空气密度 （湿-实态）</t>
  </si>
  <si>
    <r>
      <t>ρ</t>
    </r>
    <r>
      <rPr>
        <vertAlign val="subscript"/>
        <sz val="12"/>
        <rFont val="宋体"/>
        <family val="3"/>
        <charset val="134"/>
      </rPr>
      <t>a1</t>
    </r>
  </si>
  <si>
    <r>
      <t>kg/m</t>
    </r>
    <r>
      <rPr>
        <vertAlign val="superscript"/>
        <sz val="12"/>
        <rFont val="宋体"/>
        <family val="3"/>
        <charset val="134"/>
      </rPr>
      <t>3</t>
    </r>
  </si>
  <si>
    <r>
      <t>G</t>
    </r>
    <r>
      <rPr>
        <vertAlign val="subscript"/>
        <sz val="12"/>
        <rFont val="Times New Roman"/>
        <family val="1"/>
      </rPr>
      <t>Lf 1</t>
    </r>
    <r>
      <rPr>
        <sz val="12"/>
        <rFont val="Times New Roman"/>
        <family val="1"/>
      </rPr>
      <t>/V</t>
    </r>
    <r>
      <rPr>
        <vertAlign val="subscript"/>
        <sz val="12"/>
        <rFont val="Times New Roman"/>
        <family val="1"/>
      </rPr>
      <t>Lf 1</t>
    </r>
  </si>
  <si>
    <t xml:space="preserve">        校核</t>
  </si>
  <si>
    <r>
      <t>ρ</t>
    </r>
    <r>
      <rPr>
        <vertAlign val="subscript"/>
        <sz val="12"/>
        <rFont val="宋体"/>
        <family val="3"/>
        <charset val="134"/>
      </rPr>
      <t>ao</t>
    </r>
    <r>
      <rPr>
        <sz val="12"/>
        <rFont val="宋体"/>
        <family val="3"/>
        <charset val="134"/>
      </rPr>
      <t>*273/（273+T'ky.p）*Pb/101.325（校核）</t>
    </r>
  </si>
  <si>
    <t xml:space="preserve">        热一次风温度</t>
  </si>
  <si>
    <t xml:space="preserve">        热一次风量（湿-实态）</t>
  </si>
  <si>
    <r>
      <t>V</t>
    </r>
    <r>
      <rPr>
        <vertAlign val="subscript"/>
        <sz val="12"/>
        <rFont val="Times New Roman"/>
        <family val="1"/>
      </rPr>
      <t>Rf 1</t>
    </r>
  </si>
  <si>
    <r>
      <t>V</t>
    </r>
    <r>
      <rPr>
        <vertAlign val="subscript"/>
        <sz val="12"/>
        <rFont val="Times New Roman"/>
        <family val="1"/>
      </rPr>
      <t>NLf 1</t>
    </r>
    <r>
      <rPr>
        <sz val="12"/>
        <rFont val="Times New Roman"/>
        <family val="1"/>
      </rPr>
      <t>*(273+T"ky.p)/273*101.325/Pb</t>
    </r>
  </si>
  <si>
    <t xml:space="preserve">        湿空气密度 （湿-实态）</t>
  </si>
  <si>
    <r>
      <t>ρ'</t>
    </r>
    <r>
      <rPr>
        <vertAlign val="subscript"/>
        <sz val="12"/>
        <rFont val="宋体"/>
        <family val="3"/>
        <charset val="134"/>
      </rPr>
      <t>a1</t>
    </r>
  </si>
  <si>
    <r>
      <t>G</t>
    </r>
    <r>
      <rPr>
        <vertAlign val="subscript"/>
        <sz val="12"/>
        <rFont val="Times New Roman"/>
        <family val="1"/>
      </rPr>
      <t>Lf 1/</t>
    </r>
    <r>
      <rPr>
        <sz val="12"/>
        <rFont val="Times New Roman"/>
        <family val="1"/>
      </rPr>
      <t>V</t>
    </r>
    <r>
      <rPr>
        <vertAlign val="subscript"/>
        <sz val="12"/>
        <rFont val="Times New Roman"/>
        <family val="1"/>
      </rPr>
      <t>Rf 1</t>
    </r>
  </si>
  <si>
    <t>冷一次风</t>
    <phoneticPr fontId="1" type="noConversion"/>
  </si>
  <si>
    <t>热一次风</t>
    <phoneticPr fontId="1" type="noConversion"/>
  </si>
  <si>
    <t xml:space="preserve">        二次风份额</t>
  </si>
  <si>
    <r>
      <t>β</t>
    </r>
    <r>
      <rPr>
        <vertAlign val="subscript"/>
        <sz val="12"/>
        <rFont val="Times New Roman"/>
        <family val="1"/>
      </rPr>
      <t>2</t>
    </r>
  </si>
  <si>
    <t xml:space="preserve">        冷风温度</t>
  </si>
  <si>
    <t xml:space="preserve">        冷二次风量（湿-标准态）</t>
  </si>
  <si>
    <r>
      <t>V</t>
    </r>
    <r>
      <rPr>
        <vertAlign val="subscript"/>
        <sz val="12"/>
        <rFont val="Times New Roman"/>
        <family val="1"/>
      </rPr>
      <t>NLf 2</t>
    </r>
  </si>
  <si>
    <r>
      <t>β</t>
    </r>
    <r>
      <rPr>
        <vertAlign val="subscript"/>
        <sz val="12"/>
        <rFont val="宋体"/>
        <family val="3"/>
        <charset val="134"/>
      </rPr>
      <t>2</t>
    </r>
    <r>
      <rPr>
        <sz val="12"/>
        <rFont val="宋体"/>
        <family val="3"/>
        <charset val="134"/>
      </rPr>
      <t>*V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k</t>
    </r>
  </si>
  <si>
    <t xml:space="preserve">        冷二次风量（湿-实态）</t>
  </si>
  <si>
    <r>
      <t>V</t>
    </r>
    <r>
      <rPr>
        <vertAlign val="subscript"/>
        <sz val="12"/>
        <rFont val="Times New Roman"/>
        <family val="1"/>
      </rPr>
      <t>Lf 2</t>
    </r>
  </si>
  <si>
    <r>
      <t>V</t>
    </r>
    <r>
      <rPr>
        <vertAlign val="subscript"/>
        <sz val="12"/>
        <rFont val="Times New Roman"/>
        <family val="1"/>
      </rPr>
      <t>NLf 2</t>
    </r>
    <r>
      <rPr>
        <sz val="12"/>
        <rFont val="Times New Roman"/>
        <family val="1"/>
      </rPr>
      <t>*(273+T'ky.s)/273*101.325/Pb</t>
    </r>
  </si>
  <si>
    <t xml:space="preserve">        冷二次风量（质量流量）</t>
  </si>
  <si>
    <r>
      <t>G</t>
    </r>
    <r>
      <rPr>
        <vertAlign val="subscript"/>
        <sz val="12"/>
        <rFont val="Times New Roman"/>
        <family val="1"/>
      </rPr>
      <t>Lf 2</t>
    </r>
  </si>
  <si>
    <r>
      <t>ρ</t>
    </r>
    <r>
      <rPr>
        <vertAlign val="subscript"/>
        <sz val="12"/>
        <rFont val="Times New Roman"/>
        <family val="1"/>
      </rPr>
      <t>ao</t>
    </r>
    <r>
      <rPr>
        <sz val="12"/>
        <rFont val="Times New Roman"/>
        <family val="1"/>
      </rPr>
      <t>*V</t>
    </r>
    <r>
      <rPr>
        <vertAlign val="subscript"/>
        <sz val="12"/>
        <rFont val="Times New Roman"/>
        <family val="1"/>
      </rPr>
      <t>NLf2</t>
    </r>
  </si>
  <si>
    <t xml:space="preserve">        冷二次风湿空气密度（湿-实态）</t>
  </si>
  <si>
    <r>
      <t>ρ</t>
    </r>
    <r>
      <rPr>
        <vertAlign val="subscript"/>
        <sz val="12"/>
        <rFont val="宋体"/>
        <family val="3"/>
        <charset val="134"/>
      </rPr>
      <t>a2</t>
    </r>
  </si>
  <si>
    <r>
      <t>G</t>
    </r>
    <r>
      <rPr>
        <vertAlign val="subscript"/>
        <sz val="12"/>
        <rFont val="Times New Roman"/>
        <family val="1"/>
      </rPr>
      <t>Lf2</t>
    </r>
    <r>
      <rPr>
        <sz val="12"/>
        <rFont val="Times New Roman"/>
        <family val="1"/>
      </rPr>
      <t>/V</t>
    </r>
    <r>
      <rPr>
        <vertAlign val="subscript"/>
        <sz val="12"/>
        <rFont val="Times New Roman"/>
        <family val="1"/>
      </rPr>
      <t>Lf2</t>
    </r>
  </si>
  <si>
    <t xml:space="preserve">        热二次风温度</t>
  </si>
  <si>
    <t xml:space="preserve">        热二次风量（湿-实态）</t>
  </si>
  <si>
    <r>
      <t>V</t>
    </r>
    <r>
      <rPr>
        <vertAlign val="subscript"/>
        <sz val="12"/>
        <rFont val="Times New Roman"/>
        <family val="1"/>
      </rPr>
      <t>Rf 2</t>
    </r>
  </si>
  <si>
    <t>m3/h</t>
  </si>
  <si>
    <r>
      <t>V</t>
    </r>
    <r>
      <rPr>
        <vertAlign val="subscript"/>
        <sz val="12"/>
        <rFont val="Times New Roman"/>
        <family val="1"/>
      </rPr>
      <t>NLf 2</t>
    </r>
    <r>
      <rPr>
        <sz val="12"/>
        <rFont val="Times New Roman"/>
        <family val="1"/>
      </rPr>
      <t>*(273+T"ky.s)/273*101.325/Pb</t>
    </r>
  </si>
  <si>
    <t xml:space="preserve">        湿空气密度（湿-实态）</t>
  </si>
  <si>
    <r>
      <t>ρ'</t>
    </r>
    <r>
      <rPr>
        <vertAlign val="subscript"/>
        <sz val="12"/>
        <rFont val="宋体"/>
        <family val="3"/>
        <charset val="134"/>
      </rPr>
      <t>a2</t>
    </r>
  </si>
  <si>
    <t>kg/m3</t>
  </si>
  <si>
    <r>
      <t>G</t>
    </r>
    <r>
      <rPr>
        <vertAlign val="subscript"/>
        <sz val="12"/>
        <rFont val="Times New Roman"/>
        <family val="1"/>
      </rPr>
      <t>Lf 2/</t>
    </r>
    <r>
      <rPr>
        <sz val="12"/>
        <rFont val="Times New Roman"/>
        <family val="1"/>
      </rPr>
      <t>V</t>
    </r>
    <r>
      <rPr>
        <vertAlign val="subscript"/>
        <sz val="12"/>
        <rFont val="Times New Roman"/>
        <family val="1"/>
      </rPr>
      <t>Rf 2</t>
    </r>
  </si>
  <si>
    <t>冷二次风</t>
    <phoneticPr fontId="1" type="noConversion"/>
  </si>
  <si>
    <t>热二次风</t>
    <phoneticPr fontId="1" type="noConversion"/>
  </si>
  <si>
    <t>（26）</t>
  </si>
  <si>
    <t>（27）</t>
  </si>
  <si>
    <t>（28）</t>
  </si>
  <si>
    <t>（29）</t>
  </si>
  <si>
    <t>（30）</t>
  </si>
  <si>
    <t>（31）</t>
  </si>
  <si>
    <t>八</t>
    <phoneticPr fontId="1" type="noConversion"/>
  </si>
  <si>
    <t>锅炉各处烟气量</t>
    <phoneticPr fontId="1" type="noConversion"/>
  </si>
  <si>
    <r>
      <t>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yk</t>
    </r>
  </si>
  <si>
    <t>Vy*Bj</t>
  </si>
  <si>
    <t>Gyk</t>
  </si>
  <si>
    <t>Gy*Bj</t>
  </si>
  <si>
    <t>Vyk</t>
  </si>
  <si>
    <r>
      <t>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yk*(273+T"y)/273*101.325/Pb</t>
    </r>
  </si>
  <si>
    <t>ρyk</t>
  </si>
  <si>
    <t>Gyk/Vyk</t>
  </si>
  <si>
    <t>空预器出口</t>
    <phoneticPr fontId="1" type="noConversion"/>
  </si>
  <si>
    <t>标况下空预器出口1Kg燃料湿烟气容积</t>
    <phoneticPr fontId="1" type="noConversion"/>
  </si>
  <si>
    <t>空预器出口1Kg燃料产生的湿烟气质量</t>
    <phoneticPr fontId="1" type="noConversion"/>
  </si>
  <si>
    <t>标况下空预器出口烟气容积流量</t>
    <phoneticPr fontId="1" type="noConversion"/>
  </si>
  <si>
    <t>空预器出口烟气容积量(实态）</t>
    <phoneticPr fontId="1" type="noConversion"/>
  </si>
  <si>
    <r>
      <t>T</t>
    </r>
    <r>
      <rPr>
        <vertAlign val="subscript"/>
        <sz val="12"/>
        <color indexed="8"/>
        <rFont val="宋体"/>
        <family val="3"/>
        <charset val="134"/>
      </rPr>
      <t>lk</t>
    </r>
  </si>
  <si>
    <r>
      <t>T</t>
    </r>
    <r>
      <rPr>
        <vertAlign val="subscript"/>
        <sz val="12"/>
        <color indexed="8"/>
        <rFont val="宋体"/>
        <family val="3"/>
        <charset val="134"/>
      </rPr>
      <t>cj</t>
    </r>
  </si>
  <si>
    <r>
      <t>(α</t>
    </r>
    <r>
      <rPr>
        <vertAlign val="subscript"/>
        <sz val="12"/>
        <rFont val="宋体"/>
        <family val="3"/>
        <charset val="134"/>
      </rPr>
      <t>ky</t>
    </r>
    <r>
      <rPr>
        <sz val="12"/>
        <rFont val="宋体"/>
        <family val="3"/>
        <charset val="134"/>
      </rPr>
      <t>T"y+△α</t>
    </r>
    <r>
      <rPr>
        <vertAlign val="subscript"/>
        <sz val="12"/>
        <rFont val="宋体"/>
        <family val="3"/>
        <charset val="134"/>
      </rPr>
      <t>cj</t>
    </r>
    <r>
      <rPr>
        <sz val="12"/>
        <rFont val="宋体"/>
        <family val="3"/>
        <charset val="134"/>
      </rPr>
      <t>*T</t>
    </r>
    <r>
      <rPr>
        <vertAlign val="subscript"/>
        <sz val="12"/>
        <rFont val="宋体"/>
        <family val="3"/>
        <charset val="134"/>
      </rPr>
      <t>lk</t>
    </r>
    <r>
      <rPr>
        <sz val="12"/>
        <rFont val="宋体"/>
        <family val="3"/>
        <charset val="134"/>
      </rPr>
      <t>)/(α</t>
    </r>
    <r>
      <rPr>
        <vertAlign val="subscript"/>
        <sz val="12"/>
        <rFont val="宋体"/>
        <family val="3"/>
        <charset val="134"/>
      </rPr>
      <t>ky</t>
    </r>
    <r>
      <rPr>
        <sz val="12"/>
        <rFont val="宋体"/>
        <family val="3"/>
        <charset val="134"/>
      </rPr>
      <t>+△α</t>
    </r>
    <r>
      <rPr>
        <vertAlign val="subscript"/>
        <sz val="12"/>
        <rFont val="宋体"/>
        <family val="3"/>
        <charset val="134"/>
      </rPr>
      <t>cj</t>
    </r>
    <r>
      <rPr>
        <sz val="12"/>
        <rFont val="宋体"/>
        <family val="3"/>
        <charset val="134"/>
      </rPr>
      <t>)</t>
    </r>
  </si>
  <si>
    <t>V'ycj</t>
  </si>
  <si>
    <t>G'ycj</t>
  </si>
  <si>
    <r>
      <t>1-Aar/100+1.293*(1+d/1000)*αcj*V</t>
    </r>
    <r>
      <rPr>
        <vertAlign val="superscript"/>
        <sz val="12"/>
        <rFont val="宋体"/>
        <family val="3"/>
        <charset val="134"/>
      </rPr>
      <t>o</t>
    </r>
  </si>
  <si>
    <r>
      <t>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ycj</t>
    </r>
  </si>
  <si>
    <t xml:space="preserve">V'ycj*Bj </t>
  </si>
  <si>
    <t>Gycj</t>
  </si>
  <si>
    <t>G'ycj*Bj</t>
  </si>
  <si>
    <t>Vycj</t>
  </si>
  <si>
    <r>
      <t>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ycj*(273+Tcj)/273*101.325/Pb</t>
    </r>
  </si>
  <si>
    <t>除尘器进口</t>
    <phoneticPr fontId="1" type="noConversion"/>
  </si>
  <si>
    <t>标况下除尘器进口处1kg燃料湿烟气容积</t>
    <phoneticPr fontId="1" type="noConversion"/>
  </si>
  <si>
    <t>除尘器进口处1kg燃料湿烟气质量</t>
    <phoneticPr fontId="1" type="noConversion"/>
  </si>
  <si>
    <t>标况下除尘器进口烟气容积流量</t>
    <phoneticPr fontId="1" type="noConversion"/>
  </si>
  <si>
    <t>除尘器进口处烟气容积流量(实态）</t>
    <phoneticPr fontId="1" type="noConversion"/>
  </si>
  <si>
    <r>
      <t>Vy+△α</t>
    </r>
    <r>
      <rPr>
        <vertAlign val="subscript"/>
        <sz val="12"/>
        <rFont val="宋体"/>
        <family val="3"/>
        <charset val="134"/>
      </rPr>
      <t>cj</t>
    </r>
    <r>
      <rPr>
        <sz val="12"/>
        <rFont val="宋体"/>
        <family val="3"/>
        <charset val="134"/>
      </rPr>
      <t>*V</t>
    </r>
    <r>
      <rPr>
        <vertAlign val="superscript"/>
        <sz val="12"/>
        <rFont val="宋体"/>
        <family val="3"/>
        <charset val="134"/>
      </rPr>
      <t>O'</t>
    </r>
    <r>
      <rPr>
        <sz val="12"/>
        <rFont val="宋体"/>
        <family val="3"/>
        <charset val="134"/>
      </rPr>
      <t>+0.0161*</t>
    </r>
    <r>
      <rPr>
        <sz val="12"/>
        <rFont val="宋体"/>
        <family val="3"/>
        <charset val="134"/>
      </rPr>
      <t>V</t>
    </r>
    <r>
      <rPr>
        <vertAlign val="superscript"/>
        <sz val="12"/>
        <rFont val="宋体"/>
        <family val="3"/>
        <charset val="134"/>
      </rPr>
      <t>O'</t>
    </r>
    <phoneticPr fontId="1" type="noConversion"/>
  </si>
  <si>
    <t>αcj+△αcc</t>
  </si>
  <si>
    <r>
      <t>T</t>
    </r>
    <r>
      <rPr>
        <vertAlign val="subscript"/>
        <sz val="12"/>
        <color indexed="8"/>
        <rFont val="宋体"/>
        <family val="3"/>
        <charset val="134"/>
      </rPr>
      <t>cc</t>
    </r>
  </si>
  <si>
    <t>湿法脱硫，给定</t>
  </si>
  <si>
    <t>V'ycc</t>
  </si>
  <si>
    <r>
      <t>V'ycj+△αcc*V</t>
    </r>
    <r>
      <rPr>
        <vertAlign val="superscript"/>
        <sz val="12"/>
        <rFont val="宋体"/>
        <family val="3"/>
        <charset val="134"/>
      </rPr>
      <t>O'</t>
    </r>
    <r>
      <rPr>
        <sz val="12"/>
        <rFont val="宋体"/>
        <family val="3"/>
        <charset val="134"/>
      </rPr>
      <t>+0.0161*△αcc*V</t>
    </r>
    <r>
      <rPr>
        <vertAlign val="superscript"/>
        <sz val="12"/>
        <rFont val="宋体"/>
        <family val="3"/>
        <charset val="134"/>
      </rPr>
      <t>O'</t>
    </r>
  </si>
  <si>
    <t>G'ycc</t>
  </si>
  <si>
    <r>
      <t>1-Aar/100+1.293*(1+d/1000)*αcc*V</t>
    </r>
    <r>
      <rPr>
        <vertAlign val="superscript"/>
        <sz val="12"/>
        <rFont val="宋体"/>
        <family val="3"/>
        <charset val="134"/>
      </rPr>
      <t>o</t>
    </r>
  </si>
  <si>
    <r>
      <t>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ycc</t>
    </r>
  </si>
  <si>
    <t xml:space="preserve">V'ycc*Bj </t>
  </si>
  <si>
    <t>Gycc</t>
  </si>
  <si>
    <t>G'ycc*Bj</t>
  </si>
  <si>
    <t>Vycc</t>
  </si>
  <si>
    <r>
      <t>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ycc*(273+Tcc)/273*101.325/Pb</t>
    </r>
  </si>
  <si>
    <t>ρycc</t>
  </si>
  <si>
    <t>Gycc/Vycc</t>
  </si>
  <si>
    <r>
      <t>Δα</t>
    </r>
    <r>
      <rPr>
        <vertAlign val="subscript"/>
        <sz val="12"/>
        <rFont val="宋体"/>
        <family val="3"/>
        <charset val="134"/>
      </rPr>
      <t>xj</t>
    </r>
  </si>
  <si>
    <r>
      <t>α</t>
    </r>
    <r>
      <rPr>
        <vertAlign val="subscript"/>
        <sz val="12"/>
        <rFont val="宋体"/>
        <family val="3"/>
        <charset val="134"/>
      </rPr>
      <t>cc</t>
    </r>
    <r>
      <rPr>
        <sz val="12"/>
        <rFont val="Times New Roman"/>
        <family val="1"/>
      </rPr>
      <t>+</t>
    </r>
    <r>
      <rPr>
        <sz val="12"/>
        <rFont val="宋体"/>
        <family val="3"/>
        <charset val="134"/>
      </rPr>
      <t>Δα</t>
    </r>
    <r>
      <rPr>
        <vertAlign val="subscript"/>
        <sz val="12"/>
        <rFont val="Times New Roman"/>
        <family val="1"/>
      </rPr>
      <t>xj</t>
    </r>
  </si>
  <si>
    <r>
      <t>T</t>
    </r>
    <r>
      <rPr>
        <vertAlign val="subscript"/>
        <sz val="12"/>
        <color indexed="8"/>
        <rFont val="宋体"/>
        <family val="3"/>
        <charset val="134"/>
      </rPr>
      <t>xf</t>
    </r>
  </si>
  <si>
    <t>(αcc*Tcc+△αxj*Tlk)/(αcc+△αxj)</t>
  </si>
  <si>
    <t>V'xf</t>
  </si>
  <si>
    <r>
      <t>V'ycc+△α</t>
    </r>
    <r>
      <rPr>
        <vertAlign val="subscript"/>
        <sz val="12"/>
        <rFont val="宋体"/>
        <family val="3"/>
        <charset val="134"/>
      </rPr>
      <t>xj</t>
    </r>
    <r>
      <rPr>
        <sz val="12"/>
        <rFont val="宋体"/>
        <family val="3"/>
        <charset val="134"/>
      </rPr>
      <t>*V</t>
    </r>
    <r>
      <rPr>
        <vertAlign val="superscript"/>
        <sz val="12"/>
        <rFont val="宋体"/>
        <family val="3"/>
        <charset val="134"/>
      </rPr>
      <t>o'</t>
    </r>
    <r>
      <rPr>
        <sz val="12"/>
        <rFont val="宋体"/>
        <family val="3"/>
        <charset val="134"/>
      </rPr>
      <t>+0.0161*△αxj*V</t>
    </r>
    <r>
      <rPr>
        <vertAlign val="superscript"/>
        <sz val="12"/>
        <rFont val="宋体"/>
        <family val="3"/>
        <charset val="134"/>
      </rPr>
      <t>o'</t>
    </r>
  </si>
  <si>
    <t>G'xf</t>
  </si>
  <si>
    <r>
      <t>1-Aar/100+1.293*(1+d/1000)*αxf*V</t>
    </r>
    <r>
      <rPr>
        <vertAlign val="superscript"/>
        <sz val="12"/>
        <rFont val="宋体"/>
        <family val="3"/>
        <charset val="134"/>
      </rPr>
      <t>o</t>
    </r>
  </si>
  <si>
    <r>
      <t>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xf</t>
    </r>
  </si>
  <si>
    <t>V'xf*Bj</t>
  </si>
  <si>
    <r>
      <t>Nm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/s</t>
    </r>
  </si>
  <si>
    <t>V'xf*Bj/3600</t>
  </si>
  <si>
    <t>Gxf</t>
  </si>
  <si>
    <t>G'xf*Bj</t>
  </si>
  <si>
    <t>Vxf</t>
  </si>
  <si>
    <r>
      <t>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xf*(273+Txf)/273*101.325/Pb</t>
    </r>
  </si>
  <si>
    <t>Vxfc</t>
  </si>
  <si>
    <r>
      <t>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/s</t>
    </r>
  </si>
  <si>
    <t>Vxf/3600</t>
  </si>
  <si>
    <t>ρyxf</t>
  </si>
  <si>
    <t>Gyxf/Vyxf</t>
  </si>
  <si>
    <r>
      <t>ρ</t>
    </r>
    <r>
      <rPr>
        <vertAlign val="subscript"/>
        <sz val="12"/>
        <color indexed="8"/>
        <rFont val="宋体"/>
        <family val="3"/>
        <charset val="134"/>
      </rPr>
      <t>yo</t>
    </r>
  </si>
  <si>
    <r>
      <t>kg/Nm</t>
    </r>
    <r>
      <rPr>
        <vertAlign val="superscript"/>
        <sz val="12"/>
        <rFont val="Times New Roman"/>
        <family val="1"/>
      </rPr>
      <t>3</t>
    </r>
  </si>
  <si>
    <r>
      <t>Gxf/V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xf</t>
    </r>
  </si>
  <si>
    <t>除尘器出口（湿法脱硫）</t>
    <phoneticPr fontId="1" type="noConversion"/>
  </si>
  <si>
    <t>标况下除尘器出口处1kg燃料湿烟气容积</t>
    <phoneticPr fontId="1" type="noConversion"/>
  </si>
  <si>
    <t>除尘器出口处1kg燃料湿烟气质量</t>
    <phoneticPr fontId="1" type="noConversion"/>
  </si>
  <si>
    <t>标况下除尘器出口湿烟气容积流量</t>
    <phoneticPr fontId="1" type="noConversion"/>
  </si>
  <si>
    <t>除尘器出口处湿烟气质量流量</t>
    <phoneticPr fontId="1" type="noConversion"/>
  </si>
  <si>
    <t>除尘器出口处湿烟气容积流量(实态）</t>
    <phoneticPr fontId="1" type="noConversion"/>
  </si>
  <si>
    <t>标况下引风机进口处1kg燃料湿烟气容积</t>
    <phoneticPr fontId="1" type="noConversion"/>
  </si>
  <si>
    <t>引风机进口处1kg燃料湿烟气质量</t>
    <phoneticPr fontId="1" type="noConversion"/>
  </si>
  <si>
    <t>标况下引风机进口湿烟气容积流量</t>
    <phoneticPr fontId="1" type="noConversion"/>
  </si>
  <si>
    <t>引风机进口处湿烟气质量流量</t>
    <phoneticPr fontId="1" type="noConversion"/>
  </si>
  <si>
    <t>引风机进口处湿烟气容积流量(实态）</t>
    <phoneticPr fontId="1" type="noConversion"/>
  </si>
  <si>
    <t>引风机处计算湿烟气密度（标况）</t>
    <phoneticPr fontId="1" type="noConversion"/>
  </si>
  <si>
    <t>（32）</t>
  </si>
  <si>
    <t>（33）</t>
  </si>
  <si>
    <t>（34）</t>
  </si>
  <si>
    <t>（35）</t>
  </si>
  <si>
    <t>（36）</t>
  </si>
  <si>
    <t>（37）</t>
  </si>
  <si>
    <t>（38）</t>
  </si>
  <si>
    <t>（39）</t>
  </si>
  <si>
    <t>（40）</t>
  </si>
  <si>
    <t>（41）</t>
  </si>
  <si>
    <t>（42）</t>
  </si>
  <si>
    <t>（43）</t>
  </si>
  <si>
    <t>引风机进口（湿法脱硫）</t>
    <phoneticPr fontId="1" type="noConversion"/>
  </si>
  <si>
    <t>九</t>
    <phoneticPr fontId="1" type="noConversion"/>
  </si>
  <si>
    <t>烟气中含氧量</t>
    <phoneticPr fontId="1" type="noConversion"/>
  </si>
  <si>
    <r>
      <t>V</t>
    </r>
    <r>
      <rPr>
        <vertAlign val="subscript"/>
        <sz val="12"/>
        <rFont val="Times New Roman"/>
        <family val="1"/>
      </rPr>
      <t>O2</t>
    </r>
    <r>
      <rPr>
        <sz val="12"/>
        <rFont val="Times New Roman"/>
        <family val="1"/>
      </rPr>
      <t>'</t>
    </r>
  </si>
  <si>
    <r>
      <t>Nm</t>
    </r>
    <r>
      <rPr>
        <vertAlign val="superscript"/>
        <sz val="12"/>
        <rFont val="Times New Roman"/>
        <family val="1"/>
      </rPr>
      <t>3</t>
    </r>
    <r>
      <rPr>
        <sz val="12"/>
        <rFont val="Times New Roman"/>
        <family val="1"/>
      </rPr>
      <t>/kg</t>
    </r>
    <r>
      <rPr>
        <sz val="12"/>
        <rFont val="宋体"/>
        <family val="3"/>
        <charset val="134"/>
      </rPr>
      <t>燃料</t>
    </r>
  </si>
  <si>
    <r>
      <t>0.21(a</t>
    </r>
    <r>
      <rPr>
        <vertAlign val="subscript"/>
        <sz val="12"/>
        <rFont val="宋体"/>
        <family val="3"/>
        <charset val="134"/>
      </rPr>
      <t>xf</t>
    </r>
    <r>
      <rPr>
        <sz val="12"/>
        <rFont val="宋体"/>
        <family val="3"/>
        <charset val="134"/>
      </rPr>
      <t>-1)V</t>
    </r>
    <r>
      <rPr>
        <vertAlign val="superscript"/>
        <sz val="12"/>
        <rFont val="Times New Roman"/>
        <family val="1"/>
      </rPr>
      <t>0</t>
    </r>
  </si>
  <si>
    <r>
      <t>Vgy</t>
    </r>
    <r>
      <rPr>
        <vertAlign val="superscript"/>
        <sz val="12"/>
        <rFont val="宋体"/>
        <family val="3"/>
        <charset val="134"/>
      </rPr>
      <t>o</t>
    </r>
  </si>
  <si>
    <r>
      <t>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N2+V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RO2</t>
    </r>
  </si>
  <si>
    <r>
      <t>V</t>
    </r>
    <r>
      <rPr>
        <vertAlign val="superscript"/>
        <sz val="12"/>
        <rFont val="宋体"/>
        <family val="3"/>
        <charset val="134"/>
      </rPr>
      <t>o</t>
    </r>
  </si>
  <si>
    <t>0.0889（Car+0.375St,ar)+0.265Har-0.0333Oar</t>
  </si>
  <si>
    <t>V'gy</t>
  </si>
  <si>
    <r>
      <t>Vgy</t>
    </r>
    <r>
      <rPr>
        <vertAlign val="superscript"/>
        <sz val="12"/>
        <rFont val="宋体"/>
        <family val="3"/>
        <charset val="134"/>
      </rPr>
      <t>o</t>
    </r>
    <r>
      <rPr>
        <sz val="12"/>
        <rFont val="宋体"/>
        <family val="3"/>
        <charset val="134"/>
      </rPr>
      <t>+(a</t>
    </r>
    <r>
      <rPr>
        <vertAlign val="subscript"/>
        <sz val="12"/>
        <rFont val="宋体"/>
        <family val="3"/>
        <charset val="134"/>
      </rPr>
      <t>xf</t>
    </r>
    <r>
      <rPr>
        <sz val="12"/>
        <rFont val="宋体"/>
        <family val="3"/>
        <charset val="134"/>
      </rPr>
      <t>-1)V</t>
    </r>
    <r>
      <rPr>
        <vertAlign val="superscript"/>
        <sz val="12"/>
        <rFont val="宋体"/>
        <family val="3"/>
        <charset val="134"/>
      </rPr>
      <t>0</t>
    </r>
  </si>
  <si>
    <t>Vgy</t>
  </si>
  <si>
    <r>
      <t>n</t>
    </r>
    <r>
      <rPr>
        <vertAlign val="subscript"/>
        <sz val="12"/>
        <rFont val="Times New Roman"/>
        <family val="1"/>
      </rPr>
      <t>go2</t>
    </r>
  </si>
  <si>
    <r>
      <t>V</t>
    </r>
    <r>
      <rPr>
        <vertAlign val="subscript"/>
        <sz val="12"/>
        <rFont val="Times New Roman"/>
        <family val="1"/>
      </rPr>
      <t>O2</t>
    </r>
    <r>
      <rPr>
        <sz val="12"/>
        <rFont val="Times New Roman"/>
        <family val="1"/>
      </rPr>
      <t>'/V</t>
    </r>
    <r>
      <rPr>
        <vertAlign val="subscript"/>
        <sz val="12"/>
        <rFont val="Times New Roman"/>
        <family val="1"/>
      </rPr>
      <t>gy</t>
    </r>
    <r>
      <rPr>
        <sz val="12"/>
        <rFont val="Times New Roman"/>
        <family val="1"/>
      </rPr>
      <t>'</t>
    </r>
  </si>
  <si>
    <r>
      <t>V</t>
    </r>
    <r>
      <rPr>
        <vertAlign val="subscript"/>
        <sz val="12"/>
        <rFont val="宋体"/>
        <family val="3"/>
        <charset val="134"/>
      </rPr>
      <t>g</t>
    </r>
    <r>
      <rPr>
        <vertAlign val="subscript"/>
        <sz val="12"/>
        <rFont val="Times New Roman"/>
        <family val="1"/>
      </rPr>
      <t>y-O2</t>
    </r>
  </si>
  <si>
    <r>
      <t>V</t>
    </r>
    <r>
      <rPr>
        <vertAlign val="subscript"/>
        <sz val="12"/>
        <rFont val="Times New Roman"/>
        <family val="1"/>
      </rPr>
      <t>gy</t>
    </r>
    <r>
      <rPr>
        <sz val="12"/>
        <rFont val="Times New Roman"/>
        <family val="1"/>
      </rPr>
      <t>*(21-n</t>
    </r>
    <r>
      <rPr>
        <vertAlign val="subscript"/>
        <sz val="12"/>
        <rFont val="Times New Roman"/>
        <family val="1"/>
      </rPr>
      <t>go2</t>
    </r>
    <r>
      <rPr>
        <vertAlign val="superscript"/>
        <sz val="12"/>
        <rFont val="Times New Roman"/>
        <family val="1"/>
      </rPr>
      <t>'</t>
    </r>
    <r>
      <rPr>
        <sz val="12"/>
        <rFont val="Times New Roman"/>
        <family val="1"/>
      </rPr>
      <t>)/(21-6)</t>
    </r>
  </si>
  <si>
    <t>旋风分离器漏风系数</t>
    <phoneticPr fontId="1" type="noConversion"/>
  </si>
  <si>
    <t>高过漏风系数</t>
    <phoneticPr fontId="1" type="noConversion"/>
  </si>
  <si>
    <t>高过出口过剩空气系数</t>
    <phoneticPr fontId="1" type="noConversion"/>
  </si>
  <si>
    <t>低过漏风系数</t>
    <phoneticPr fontId="1" type="noConversion"/>
  </si>
  <si>
    <t>低过出口过剩空气系数</t>
    <phoneticPr fontId="1" type="noConversion"/>
  </si>
  <si>
    <t>省燃料器漏风系数</t>
    <phoneticPr fontId="1" type="noConversion"/>
  </si>
  <si>
    <t>省燃料器出口过剩空气系数</t>
    <phoneticPr fontId="1" type="noConversion"/>
  </si>
  <si>
    <t>空预器漏风系数</t>
    <phoneticPr fontId="1" type="noConversion"/>
  </si>
  <si>
    <t>空预器出口过剩空气系数</t>
    <phoneticPr fontId="1" type="noConversion"/>
  </si>
  <si>
    <t>除尘器进口过剩空气系数</t>
    <phoneticPr fontId="1" type="noConversion"/>
  </si>
  <si>
    <t>除尘器漏风系数</t>
    <phoneticPr fontId="1" type="noConversion"/>
  </si>
  <si>
    <t>除尘器出口过剩空气系数</t>
    <phoneticPr fontId="1" type="noConversion"/>
  </si>
  <si>
    <t>引风机入口过剩空气系数</t>
    <phoneticPr fontId="1" type="noConversion"/>
  </si>
  <si>
    <t>冷空气温度</t>
    <phoneticPr fontId="1" type="noConversion"/>
  </si>
  <si>
    <t>除尘器进口处烟气温度</t>
    <phoneticPr fontId="1" type="noConversion"/>
  </si>
  <si>
    <t>除尘器进口处烟气质量流量</t>
    <phoneticPr fontId="1" type="noConversion"/>
  </si>
  <si>
    <t>空预器出口烟气质量流量</t>
    <phoneticPr fontId="1" type="noConversion"/>
  </si>
  <si>
    <t>锅炉空预器出口排烟温度</t>
    <phoneticPr fontId="1" type="noConversion"/>
  </si>
  <si>
    <t>烟气密度（实态）</t>
    <phoneticPr fontId="1" type="noConversion"/>
  </si>
  <si>
    <t>除尘器出口烟气温度</t>
    <phoneticPr fontId="1" type="noConversion"/>
  </si>
  <si>
    <t>引风机入口烟气温度</t>
    <phoneticPr fontId="1" type="noConversion"/>
  </si>
  <si>
    <t xml:space="preserve">    烟气中的氧量</t>
    <phoneticPr fontId="1" type="noConversion"/>
  </si>
  <si>
    <t xml:space="preserve">    理论干烟气容积</t>
    <phoneticPr fontId="1" type="noConversion"/>
  </si>
  <si>
    <t xml:space="preserve">    理论干空气量</t>
    <phoneticPr fontId="1" type="noConversion"/>
  </si>
  <si>
    <t xml:space="preserve">    计算燃料消耗量</t>
    <phoneticPr fontId="1" type="noConversion"/>
  </si>
  <si>
    <t xml:space="preserve">    引风机进口干烟气容积</t>
    <phoneticPr fontId="1" type="noConversion"/>
  </si>
  <si>
    <t xml:space="preserve">    干烟气中含氧量</t>
    <phoneticPr fontId="1" type="noConversion"/>
  </si>
  <si>
    <r>
      <t xml:space="preserve">    总燃烧产物</t>
    </r>
    <r>
      <rPr>
        <sz val="12"/>
        <color indexed="8"/>
        <rFont val="Times New Roman"/>
        <family val="1"/>
      </rPr>
      <t>6%O</t>
    </r>
    <r>
      <rPr>
        <vertAlign val="subscript"/>
        <sz val="12"/>
        <color indexed="8"/>
        <rFont val="Times New Roman"/>
        <family val="1"/>
      </rPr>
      <t>2</t>
    </r>
    <r>
      <rPr>
        <sz val="12"/>
        <color indexed="8"/>
        <rFont val="宋体"/>
        <family val="3"/>
        <charset val="134"/>
      </rPr>
      <t>干体积</t>
    </r>
    <phoneticPr fontId="1" type="noConversion"/>
  </si>
  <si>
    <r>
      <t>Mso</t>
    </r>
    <r>
      <rPr>
        <vertAlign val="subscript"/>
        <sz val="9"/>
        <color indexed="8"/>
        <rFont val="宋体"/>
        <family val="3"/>
        <charset val="134"/>
      </rPr>
      <t>2</t>
    </r>
    <phoneticPr fontId="1" type="noConversion"/>
  </si>
  <si>
    <t>kg/h</t>
    <phoneticPr fontId="1" type="noConversion"/>
  </si>
  <si>
    <r>
      <t>2*K*Bj*S</t>
    </r>
    <r>
      <rPr>
        <sz val="9"/>
        <color indexed="8"/>
        <rFont val="宋体"/>
        <family val="3"/>
        <charset val="134"/>
      </rPr>
      <t>t,</t>
    </r>
    <r>
      <rPr>
        <sz val="9"/>
        <color indexed="8"/>
        <rFont val="宋体"/>
        <family val="3"/>
        <charset val="134"/>
      </rPr>
      <t>ar/100</t>
    </r>
    <phoneticPr fontId="1" type="noConversion"/>
  </si>
  <si>
    <t>收到基硫份</t>
    <phoneticPr fontId="1" type="noConversion"/>
  </si>
  <si>
    <t>St,ar</t>
    <phoneticPr fontId="1" type="noConversion"/>
  </si>
  <si>
    <t>%</t>
    <phoneticPr fontId="1" type="noConversion"/>
  </si>
  <si>
    <t>已知</t>
    <phoneticPr fontId="1" type="noConversion"/>
  </si>
  <si>
    <t>计算耗煤量</t>
    <phoneticPr fontId="1" type="noConversion"/>
  </si>
  <si>
    <t>Bj</t>
    <phoneticPr fontId="1" type="noConversion"/>
  </si>
  <si>
    <t>煤灰渣量计算表</t>
    <phoneticPr fontId="1" type="noConversion"/>
  </si>
  <si>
    <t>燃煤中的含硫量燃烧后氧化成SO2的份额</t>
    <phoneticPr fontId="1" type="noConversion"/>
  </si>
  <si>
    <t>K</t>
    <phoneticPr fontId="1" type="noConversion"/>
  </si>
  <si>
    <r>
      <t>V</t>
    </r>
    <r>
      <rPr>
        <vertAlign val="superscript"/>
        <sz val="9"/>
        <color indexed="8"/>
        <rFont val="宋体"/>
        <family val="3"/>
        <charset val="134"/>
      </rPr>
      <t>N</t>
    </r>
    <r>
      <rPr>
        <sz val="9"/>
        <color indexed="8"/>
        <rFont val="宋体"/>
        <family val="3"/>
        <charset val="134"/>
      </rPr>
      <t>xf</t>
    </r>
    <phoneticPr fontId="1" type="noConversion"/>
  </si>
  <si>
    <t>Nm3/h</t>
    <phoneticPr fontId="1" type="noConversion"/>
  </si>
  <si>
    <t>烟风量计算表</t>
    <phoneticPr fontId="1" type="noConversion"/>
  </si>
  <si>
    <t>未脱硫前SO2浓度（标态）</t>
    <phoneticPr fontId="1" type="noConversion"/>
  </si>
  <si>
    <r>
      <t>C'</t>
    </r>
    <r>
      <rPr>
        <vertAlign val="subscript"/>
        <sz val="9"/>
        <color indexed="8"/>
        <rFont val="宋体"/>
        <family val="3"/>
        <charset val="134"/>
      </rPr>
      <t>SO2</t>
    </r>
    <phoneticPr fontId="1" type="noConversion"/>
  </si>
  <si>
    <t>mg/Nm3</t>
    <phoneticPr fontId="1" type="noConversion"/>
  </si>
  <si>
    <r>
      <t>Mso</t>
    </r>
    <r>
      <rPr>
        <vertAlign val="subscript"/>
        <sz val="9"/>
        <color indexed="8"/>
        <rFont val="宋体"/>
        <family val="3"/>
        <charset val="134"/>
      </rPr>
      <t>2</t>
    </r>
    <r>
      <rPr>
        <sz val="9"/>
        <color indexed="8"/>
        <rFont val="宋体"/>
        <family val="3"/>
        <charset val="134"/>
      </rPr>
      <t>/</t>
    </r>
    <r>
      <rPr>
        <sz val="9"/>
        <color indexed="8"/>
        <rFont val="宋体"/>
        <family val="3"/>
        <charset val="134"/>
      </rPr>
      <t>V</t>
    </r>
    <r>
      <rPr>
        <vertAlign val="superscript"/>
        <sz val="9"/>
        <color indexed="8"/>
        <rFont val="宋体"/>
        <family val="3"/>
        <charset val="134"/>
      </rPr>
      <t>N</t>
    </r>
    <r>
      <rPr>
        <sz val="9"/>
        <color indexed="8"/>
        <rFont val="宋体"/>
        <family val="3"/>
        <charset val="134"/>
      </rPr>
      <t>xf*10</t>
    </r>
    <r>
      <rPr>
        <vertAlign val="superscript"/>
        <sz val="9"/>
        <color indexed="8"/>
        <rFont val="宋体"/>
        <family val="3"/>
        <charset val="134"/>
      </rPr>
      <t>6</t>
    </r>
    <phoneticPr fontId="1" type="noConversion"/>
  </si>
  <si>
    <t>脱硫效率</t>
    <phoneticPr fontId="1" type="noConversion"/>
  </si>
  <si>
    <t>η</t>
    <phoneticPr fontId="1" type="noConversion"/>
  </si>
  <si>
    <t>脱硫后SO2浓度（标态）</t>
    <phoneticPr fontId="1" type="noConversion"/>
  </si>
  <si>
    <r>
      <t>C</t>
    </r>
    <r>
      <rPr>
        <vertAlign val="subscript"/>
        <sz val="9"/>
        <color indexed="8"/>
        <rFont val="宋体"/>
        <family val="3"/>
        <charset val="134"/>
      </rPr>
      <t>SO2</t>
    </r>
    <phoneticPr fontId="1" type="noConversion"/>
  </si>
  <si>
    <r>
      <t>(1-</t>
    </r>
    <r>
      <rPr>
        <sz val="9"/>
        <color indexed="8"/>
        <rFont val="宋体"/>
        <family val="3"/>
        <charset val="134"/>
      </rPr>
      <t>η)</t>
    </r>
    <r>
      <rPr>
        <sz val="9"/>
        <color indexed="8"/>
        <rFont val="宋体"/>
        <family val="3"/>
        <charset val="134"/>
      </rPr>
      <t>C'</t>
    </r>
    <r>
      <rPr>
        <vertAlign val="subscript"/>
        <sz val="9"/>
        <color indexed="8"/>
        <rFont val="宋体"/>
        <family val="3"/>
        <charset val="134"/>
      </rPr>
      <t>SO2</t>
    </r>
    <phoneticPr fontId="1" type="noConversion"/>
  </si>
  <si>
    <r>
      <t>(1-</t>
    </r>
    <r>
      <rPr>
        <sz val="9"/>
        <color indexed="8"/>
        <rFont val="宋体"/>
        <family val="3"/>
        <charset val="134"/>
      </rPr>
      <t>η)</t>
    </r>
    <r>
      <rPr>
        <sz val="9"/>
        <color indexed="8"/>
        <rFont val="宋体"/>
        <family val="3"/>
        <charset val="134"/>
      </rPr>
      <t>M</t>
    </r>
    <r>
      <rPr>
        <vertAlign val="subscript"/>
        <sz val="9"/>
        <color indexed="8"/>
        <rFont val="宋体"/>
        <family val="3"/>
        <charset val="134"/>
      </rPr>
      <t>SO</t>
    </r>
    <r>
      <rPr>
        <vertAlign val="subscript"/>
        <sz val="9"/>
        <color indexed="8"/>
        <rFont val="宋体"/>
        <family val="3"/>
        <charset val="134"/>
      </rPr>
      <t>2</t>
    </r>
    <r>
      <rPr>
        <vertAlign val="subscript"/>
        <sz val="9"/>
        <color indexed="8"/>
        <rFont val="宋体"/>
        <family val="3"/>
        <charset val="134"/>
      </rPr>
      <t xml:space="preserve"> </t>
    </r>
    <r>
      <rPr>
        <sz val="9"/>
        <color indexed="8"/>
        <rFont val="宋体"/>
        <family val="3"/>
        <charset val="134"/>
      </rPr>
      <t>或 C</t>
    </r>
    <r>
      <rPr>
        <vertAlign val="subscript"/>
        <sz val="9"/>
        <color indexed="8"/>
        <rFont val="宋体"/>
        <family val="3"/>
        <charset val="134"/>
      </rPr>
      <t>SO2</t>
    </r>
    <r>
      <rPr>
        <sz val="9"/>
        <color indexed="8"/>
        <rFont val="宋体"/>
        <family val="3"/>
        <charset val="134"/>
      </rPr>
      <t>*V</t>
    </r>
    <r>
      <rPr>
        <vertAlign val="superscript"/>
        <sz val="9"/>
        <color indexed="8"/>
        <rFont val="宋体"/>
        <family val="3"/>
        <charset val="134"/>
      </rPr>
      <t>N</t>
    </r>
    <r>
      <rPr>
        <sz val="9"/>
        <color indexed="8"/>
        <rFont val="宋体"/>
        <family val="3"/>
        <charset val="134"/>
      </rPr>
      <t>xf</t>
    </r>
    <phoneticPr fontId="1" type="noConversion"/>
  </si>
  <si>
    <t>脱硫前烟气中的SO2含量</t>
    <phoneticPr fontId="1" type="noConversion"/>
  </si>
  <si>
    <t>脱硫后SO2排放量（标态）</t>
    <phoneticPr fontId="1" type="noConversion"/>
  </si>
  <si>
    <t>引风机进口烟气容积流量（标况）</t>
    <phoneticPr fontId="1" type="noConversion"/>
  </si>
  <si>
    <t>mg/Nm3</t>
    <phoneticPr fontId="1" type="noConversion"/>
  </si>
  <si>
    <t>一</t>
    <phoneticPr fontId="1" type="noConversion"/>
  </si>
  <si>
    <t>石灰石湿法脱硫</t>
    <phoneticPr fontId="1" type="noConversion"/>
  </si>
  <si>
    <t>石灰石纯度</t>
    <phoneticPr fontId="1" type="noConversion"/>
  </si>
  <si>
    <t>β</t>
    <phoneticPr fontId="1" type="noConversion"/>
  </si>
  <si>
    <t>可根据石灰石成分计算</t>
    <phoneticPr fontId="1" type="noConversion"/>
  </si>
  <si>
    <t>Ca/S（钙硫比）</t>
    <phoneticPr fontId="1" type="noConversion"/>
  </si>
  <si>
    <t>m</t>
    <phoneticPr fontId="1" type="noConversion"/>
  </si>
  <si>
    <t>石灰石消耗量</t>
    <phoneticPr fontId="1" type="noConversion"/>
  </si>
  <si>
    <t>Gs</t>
    <phoneticPr fontId="1" type="noConversion"/>
  </si>
  <si>
    <t>100/32*St,ar*Bj*η*m/β</t>
    <phoneticPr fontId="1" type="noConversion"/>
  </si>
  <si>
    <t>生成CaSO4量</t>
    <phoneticPr fontId="1" type="noConversion"/>
  </si>
  <si>
    <t>Gzhs</t>
    <phoneticPr fontId="1" type="noConversion"/>
  </si>
  <si>
    <t>136/32*St,ar*Bj*η*m/β</t>
    <phoneticPr fontId="1" type="noConversion"/>
  </si>
  <si>
    <t>脱硫前烟气SO2含量</t>
    <phoneticPr fontId="1" type="noConversion"/>
  </si>
  <si>
    <t>脱硝前烟气Nox</t>
    <phoneticPr fontId="1" type="noConversion"/>
  </si>
  <si>
    <r>
      <t>C'</t>
    </r>
    <r>
      <rPr>
        <vertAlign val="subscript"/>
        <sz val="12"/>
        <color indexed="8"/>
        <rFont val="宋体"/>
        <family val="3"/>
        <charset val="134"/>
      </rPr>
      <t>NOX</t>
    </r>
    <phoneticPr fontId="1" type="noConversion"/>
  </si>
  <si>
    <r>
      <t>mg/Nm</t>
    </r>
    <r>
      <rPr>
        <vertAlign val="superscript"/>
        <sz val="12"/>
        <color indexed="8"/>
        <rFont val="宋体"/>
        <family val="3"/>
        <charset val="134"/>
      </rPr>
      <t>3</t>
    </r>
    <phoneticPr fontId="1" type="noConversion"/>
  </si>
  <si>
    <t>给定（锅炉低氮燃烧规定值）</t>
    <phoneticPr fontId="1" type="noConversion"/>
  </si>
  <si>
    <t>引风机进口烟气容积流量（标况）</t>
    <phoneticPr fontId="1" type="noConversion"/>
  </si>
  <si>
    <t>脱硝效率(总效率)</t>
    <phoneticPr fontId="1" type="noConversion"/>
  </si>
  <si>
    <t>给定</t>
    <phoneticPr fontId="1" type="noConversion"/>
  </si>
  <si>
    <r>
      <t>M</t>
    </r>
    <r>
      <rPr>
        <vertAlign val="subscript"/>
        <sz val="12"/>
        <color indexed="8"/>
        <rFont val="宋体"/>
        <family val="3"/>
        <charset val="134"/>
      </rPr>
      <t>NOX</t>
    </r>
    <phoneticPr fontId="1" type="noConversion"/>
  </si>
  <si>
    <r>
      <t>C'</t>
    </r>
    <r>
      <rPr>
        <vertAlign val="subscript"/>
        <sz val="12"/>
        <color indexed="8"/>
        <rFont val="宋体"/>
        <family val="3"/>
        <charset val="134"/>
      </rPr>
      <t>NOX*</t>
    </r>
    <r>
      <rPr>
        <sz val="12"/>
        <color indexed="8"/>
        <rFont val="宋体"/>
        <family val="3"/>
        <charset val="134"/>
      </rPr>
      <t>V</t>
    </r>
    <r>
      <rPr>
        <vertAlign val="superscript"/>
        <sz val="12"/>
        <color indexed="8"/>
        <rFont val="宋体"/>
        <family val="3"/>
        <charset val="134"/>
      </rPr>
      <t>N</t>
    </r>
    <r>
      <rPr>
        <vertAlign val="subscript"/>
        <sz val="12"/>
        <color indexed="8"/>
        <rFont val="宋体"/>
        <family val="3"/>
        <charset val="134"/>
      </rPr>
      <t>xf*</t>
    </r>
    <r>
      <rPr>
        <sz val="12"/>
        <color indexed="8"/>
        <rFont val="宋体"/>
        <family val="3"/>
        <charset val="134"/>
      </rPr>
      <t>10</t>
    </r>
    <r>
      <rPr>
        <vertAlign val="superscript"/>
        <sz val="12"/>
        <color indexed="8"/>
        <rFont val="宋体"/>
        <family val="3"/>
        <charset val="134"/>
      </rPr>
      <t>-6</t>
    </r>
    <phoneticPr fontId="1" type="noConversion"/>
  </si>
  <si>
    <r>
      <t>脱硝前NO</t>
    </r>
    <r>
      <rPr>
        <b/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浓度</t>
    </r>
    <phoneticPr fontId="1" type="noConversion"/>
  </si>
  <si>
    <r>
      <t>脱硝前NO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排放量</t>
    </r>
    <phoneticPr fontId="1" type="noConversion"/>
  </si>
  <si>
    <r>
      <t>C</t>
    </r>
    <r>
      <rPr>
        <vertAlign val="subscript"/>
        <sz val="12"/>
        <color indexed="8"/>
        <rFont val="宋体"/>
        <family val="3"/>
        <charset val="134"/>
      </rPr>
      <t>NOX</t>
    </r>
    <phoneticPr fontId="1" type="noConversion"/>
  </si>
  <si>
    <r>
      <t>(1-</t>
    </r>
    <r>
      <rPr>
        <sz val="9"/>
        <color indexed="8"/>
        <rFont val="宋体"/>
        <family val="3"/>
        <charset val="134"/>
      </rPr>
      <t>η)C'NOX</t>
    </r>
    <phoneticPr fontId="1" type="noConversion"/>
  </si>
  <si>
    <r>
      <t>脱硝后NO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浓度</t>
    </r>
    <phoneticPr fontId="1" type="noConversion"/>
  </si>
  <si>
    <r>
      <t>C"</t>
    </r>
    <r>
      <rPr>
        <vertAlign val="subscript"/>
        <sz val="12"/>
        <color indexed="8"/>
        <rFont val="宋体"/>
        <family val="3"/>
        <charset val="134"/>
      </rPr>
      <t>NOX</t>
    </r>
    <phoneticPr fontId="1" type="noConversion"/>
  </si>
  <si>
    <r>
      <t>M</t>
    </r>
    <r>
      <rPr>
        <sz val="12"/>
        <color indexed="8"/>
        <rFont val="宋体"/>
        <family val="3"/>
        <charset val="134"/>
      </rPr>
      <t>'</t>
    </r>
    <r>
      <rPr>
        <vertAlign val="subscript"/>
        <sz val="12"/>
        <color indexed="8"/>
        <rFont val="宋体"/>
        <family val="3"/>
        <charset val="134"/>
      </rPr>
      <t>NOX</t>
    </r>
    <phoneticPr fontId="1" type="noConversion"/>
  </si>
  <si>
    <r>
      <t>(1-η)M</t>
    </r>
    <r>
      <rPr>
        <vertAlign val="subscript"/>
        <sz val="12"/>
        <color indexed="8"/>
        <rFont val="宋体"/>
        <family val="3"/>
        <charset val="134"/>
      </rPr>
      <t>NOX</t>
    </r>
    <phoneticPr fontId="1" type="noConversion"/>
  </si>
  <si>
    <r>
      <t>环保要求NO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的排放浓度</t>
    </r>
    <phoneticPr fontId="1" type="noConversion"/>
  </si>
  <si>
    <r>
      <t>脱硝后NO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排放量</t>
    </r>
    <phoneticPr fontId="1" type="noConversion"/>
  </si>
  <si>
    <t>四</t>
    <phoneticPr fontId="1" type="noConversion"/>
  </si>
  <si>
    <t>炉内脱硝SNCR</t>
    <phoneticPr fontId="1" type="noConversion"/>
  </si>
  <si>
    <t>η'</t>
    <phoneticPr fontId="1" type="noConversion"/>
  </si>
  <si>
    <t>(Mnox-M'nox)*η'</t>
    <phoneticPr fontId="1" type="noConversion"/>
  </si>
  <si>
    <t>炉内脱硝百分比</t>
    <phoneticPr fontId="1" type="noConversion"/>
  </si>
  <si>
    <t>炉内脱硝量</t>
    <phoneticPr fontId="1" type="noConversion"/>
  </si>
  <si>
    <t>kmol/h</t>
    <phoneticPr fontId="1" type="noConversion"/>
  </si>
  <si>
    <r>
      <t xml:space="preserve"> </t>
    </r>
    <r>
      <rPr>
        <sz val="12"/>
        <color indexed="8"/>
        <rFont val="宋体"/>
        <family val="3"/>
        <charset val="134"/>
      </rPr>
      <t xml:space="preserve"> </t>
    </r>
    <r>
      <rPr>
        <sz val="12"/>
        <color indexed="8"/>
        <rFont val="宋体"/>
        <family val="3"/>
        <charset val="134"/>
      </rPr>
      <t>氨逃逸率</t>
    </r>
    <phoneticPr fontId="1" type="noConversion"/>
  </si>
  <si>
    <r>
      <t xml:space="preserve"> </t>
    </r>
    <r>
      <rPr>
        <sz val="12"/>
        <color indexed="8"/>
        <rFont val="宋体"/>
        <family val="3"/>
        <charset val="134"/>
      </rPr>
      <t xml:space="preserve"> </t>
    </r>
    <r>
      <rPr>
        <sz val="12"/>
        <color indexed="8"/>
        <rFont val="宋体"/>
        <family val="3"/>
        <charset val="134"/>
      </rPr>
      <t>氨逃逸量</t>
    </r>
    <phoneticPr fontId="1" type="noConversion"/>
  </si>
  <si>
    <r>
      <t xml:space="preserve"> </t>
    </r>
    <r>
      <rPr>
        <sz val="12"/>
        <color indexed="8"/>
        <rFont val="宋体"/>
        <family val="3"/>
        <charset val="134"/>
      </rPr>
      <t xml:space="preserve"> </t>
    </r>
    <r>
      <rPr>
        <sz val="12"/>
        <color indexed="8"/>
        <rFont val="宋体"/>
        <family val="3"/>
        <charset val="134"/>
      </rPr>
      <t>逃逸氨折算尿素量</t>
    </r>
    <phoneticPr fontId="1" type="noConversion"/>
  </si>
  <si>
    <r>
      <t>(NH</t>
    </r>
    <r>
      <rPr>
        <vertAlign val="subscript"/>
        <sz val="12"/>
        <color indexed="8"/>
        <rFont val="宋体"/>
        <family val="3"/>
        <charset val="134"/>
      </rPr>
      <t>2</t>
    </r>
    <r>
      <rPr>
        <sz val="12"/>
        <color indexed="8"/>
        <rFont val="宋体"/>
        <family val="3"/>
        <charset val="134"/>
      </rPr>
      <t xml:space="preserve"> )</t>
    </r>
    <r>
      <rPr>
        <vertAlign val="subscript"/>
        <sz val="12"/>
        <color indexed="8"/>
        <rFont val="宋体"/>
        <family val="3"/>
        <charset val="134"/>
      </rPr>
      <t>2</t>
    </r>
    <r>
      <rPr>
        <sz val="12"/>
        <color indexed="8"/>
        <rFont val="宋体"/>
        <family val="3"/>
        <charset val="134"/>
      </rPr>
      <t>CO→2NH</t>
    </r>
    <r>
      <rPr>
        <vertAlign val="subscript"/>
        <sz val="12"/>
        <color indexed="8"/>
        <rFont val="宋体"/>
        <family val="3"/>
        <charset val="134"/>
      </rPr>
      <t>2</t>
    </r>
    <r>
      <rPr>
        <sz val="12"/>
        <color indexed="8"/>
        <rFont val="宋体"/>
        <family val="3"/>
        <charset val="134"/>
      </rPr>
      <t xml:space="preserve"> + CO</t>
    </r>
    <phoneticPr fontId="1" type="noConversion"/>
  </si>
  <si>
    <r>
      <t>炉内脱硝后NO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排放量</t>
    </r>
    <phoneticPr fontId="1" type="noConversion"/>
  </si>
  <si>
    <t>炉内脱硝摩尔量</t>
    <phoneticPr fontId="1" type="noConversion"/>
  </si>
  <si>
    <t>氨逃逸率</t>
    <phoneticPr fontId="1" type="noConversion"/>
  </si>
  <si>
    <t>氨逃逸量</t>
    <phoneticPr fontId="1" type="noConversion"/>
  </si>
  <si>
    <t>逃逸氨折算尿素量</t>
    <phoneticPr fontId="1" type="noConversion"/>
  </si>
  <si>
    <r>
      <rPr>
        <sz val="12"/>
        <color indexed="8"/>
        <rFont val="宋体"/>
        <family val="3"/>
        <charset val="134"/>
      </rPr>
      <t xml:space="preserve">  </t>
    </r>
    <r>
      <rPr>
        <sz val="12"/>
        <color indexed="8"/>
        <rFont val="宋体"/>
        <family val="3"/>
        <charset val="134"/>
      </rPr>
      <t>NH</t>
    </r>
    <r>
      <rPr>
        <vertAlign val="subscript"/>
        <sz val="12"/>
        <color indexed="8"/>
        <rFont val="宋体"/>
        <family val="3"/>
        <charset val="134"/>
      </rPr>
      <t>3</t>
    </r>
    <r>
      <rPr>
        <sz val="12"/>
        <color indexed="8"/>
        <rFont val="宋体"/>
        <family val="3"/>
        <charset val="134"/>
      </rPr>
      <t>/NO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摩尔比</t>
    </r>
    <phoneticPr fontId="1" type="noConversion"/>
  </si>
  <si>
    <r>
      <rPr>
        <sz val="12"/>
        <color indexed="8"/>
        <rFont val="宋体"/>
        <family val="3"/>
        <charset val="134"/>
      </rPr>
      <t xml:space="preserve">  </t>
    </r>
    <r>
      <rPr>
        <sz val="12"/>
        <color indexed="8"/>
        <rFont val="宋体"/>
        <family val="3"/>
        <charset val="134"/>
      </rPr>
      <t>尿素/NO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摩尔比</t>
    </r>
    <phoneticPr fontId="1" type="noConversion"/>
  </si>
  <si>
    <r>
      <t>NH</t>
    </r>
    <r>
      <rPr>
        <vertAlign val="subscript"/>
        <sz val="12"/>
        <color indexed="8"/>
        <rFont val="宋体"/>
        <family val="3"/>
        <charset val="134"/>
      </rPr>
      <t>3</t>
    </r>
    <r>
      <rPr>
        <sz val="12"/>
        <color indexed="8"/>
        <rFont val="宋体"/>
        <family val="3"/>
        <charset val="134"/>
      </rPr>
      <t>/NO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摩尔比/2</t>
    </r>
    <phoneticPr fontId="1" type="noConversion"/>
  </si>
  <si>
    <r>
      <t xml:space="preserve">  尿素/NO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式量比</t>
    </r>
    <phoneticPr fontId="1" type="noConversion"/>
  </si>
  <si>
    <r>
      <t xml:space="preserve"> </t>
    </r>
    <r>
      <rPr>
        <sz val="12"/>
        <color indexed="8"/>
        <rFont val="宋体"/>
        <family val="3"/>
        <charset val="134"/>
      </rPr>
      <t xml:space="preserve"> </t>
    </r>
    <r>
      <rPr>
        <sz val="12"/>
        <color indexed="8"/>
        <rFont val="宋体"/>
        <family val="3"/>
        <charset val="134"/>
      </rPr>
      <t>理论尿素消耗量</t>
    </r>
    <phoneticPr fontId="1" type="noConversion"/>
  </si>
  <si>
    <t xml:space="preserve">  尿素用量(一台炉)</t>
    <phoneticPr fontId="1" type="noConversion"/>
  </si>
  <si>
    <t>理论尿素消耗量+逃逸氨折算尿素量</t>
    <phoneticPr fontId="1" type="noConversion"/>
  </si>
  <si>
    <r>
      <t>NH</t>
    </r>
    <r>
      <rPr>
        <vertAlign val="subscript"/>
        <sz val="12"/>
        <color indexed="8"/>
        <rFont val="宋体"/>
        <family val="3"/>
        <charset val="134"/>
      </rPr>
      <t>3</t>
    </r>
    <r>
      <rPr>
        <sz val="12"/>
        <color indexed="8"/>
        <rFont val="宋体"/>
        <family val="3"/>
        <charset val="134"/>
      </rPr>
      <t>/NO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摩尔比</t>
    </r>
    <phoneticPr fontId="1" type="noConversion"/>
  </si>
  <si>
    <r>
      <t>尿素/NO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摩尔比</t>
    </r>
    <phoneticPr fontId="1" type="noConversion"/>
  </si>
  <si>
    <r>
      <t>尿素/NO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式量比</t>
    </r>
    <phoneticPr fontId="1" type="noConversion"/>
  </si>
  <si>
    <t>理论尿素消耗量</t>
    <phoneticPr fontId="1" type="noConversion"/>
  </si>
  <si>
    <t>尿素用量(一台炉)</t>
    <phoneticPr fontId="1" type="noConversion"/>
  </si>
  <si>
    <t>尿素溶液消耗水量(一台炉)</t>
    <phoneticPr fontId="1" type="noConversion"/>
  </si>
  <si>
    <t xml:space="preserve">  尿素仓库天数</t>
    <phoneticPr fontId="1" type="noConversion"/>
  </si>
  <si>
    <t>t</t>
    <phoneticPr fontId="1" type="noConversion"/>
  </si>
  <si>
    <t xml:space="preserve">  尿素仓库容量</t>
    <phoneticPr fontId="1" type="noConversion"/>
  </si>
  <si>
    <t>脱硝SCR（尿素热解法）</t>
    <phoneticPr fontId="1" type="noConversion"/>
  </si>
  <si>
    <r>
      <t xml:space="preserve">  烟气</t>
    </r>
    <r>
      <rPr>
        <sz val="12"/>
        <color indexed="8"/>
        <rFont val="宋体"/>
        <family val="3"/>
        <charset val="134"/>
      </rPr>
      <t>脱硝百分比</t>
    </r>
    <phoneticPr fontId="1" type="noConversion"/>
  </si>
  <si>
    <r>
      <t xml:space="preserve">  烟气脱硝后NO</t>
    </r>
    <r>
      <rPr>
        <vertAlign val="subscript"/>
        <sz val="12"/>
        <color indexed="8"/>
        <rFont val="宋体"/>
        <family val="3"/>
        <charset val="134"/>
      </rPr>
      <t>X</t>
    </r>
    <r>
      <rPr>
        <sz val="12"/>
        <color indexed="8"/>
        <rFont val="宋体"/>
        <family val="3"/>
        <charset val="134"/>
      </rPr>
      <t>排放量</t>
    </r>
    <phoneticPr fontId="1" type="noConversion"/>
  </si>
  <si>
    <t xml:space="preserve">  烟气脱硝量</t>
    <phoneticPr fontId="1" type="noConversion"/>
  </si>
  <si>
    <r>
      <t>p</t>
    </r>
    <r>
      <rPr>
        <sz val="12"/>
        <color indexed="8"/>
        <rFont val="宋体"/>
        <family val="3"/>
        <charset val="134"/>
      </rPr>
      <t>pm</t>
    </r>
    <phoneticPr fontId="1" type="noConversion"/>
  </si>
  <si>
    <t>αf</t>
    <phoneticPr fontId="1" type="noConversion"/>
  </si>
  <si>
    <t>Gaf</t>
    <phoneticPr fontId="1" type="noConversion"/>
  </si>
  <si>
    <t>αf*Gzh</t>
    <phoneticPr fontId="1" type="noConversion"/>
  </si>
  <si>
    <r>
      <t>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ycj</t>
    </r>
    <phoneticPr fontId="1" type="noConversion"/>
  </si>
  <si>
    <r>
      <t>Nm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/h</t>
    </r>
    <phoneticPr fontId="1" type="noConversion"/>
  </si>
  <si>
    <t>Vycj</t>
    <phoneticPr fontId="1" type="noConversion"/>
  </si>
  <si>
    <r>
      <t>m</t>
    </r>
    <r>
      <rPr>
        <vertAlign val="superscript"/>
        <sz val="12"/>
        <rFont val="宋体"/>
        <family val="3"/>
        <charset val="134"/>
      </rPr>
      <t>3</t>
    </r>
    <r>
      <rPr>
        <sz val="12"/>
        <rFont val="宋体"/>
        <family val="3"/>
        <charset val="134"/>
      </rPr>
      <t>/h</t>
    </r>
    <phoneticPr fontId="1" type="noConversion"/>
  </si>
  <si>
    <t>Ci</t>
    <phoneticPr fontId="1" type="noConversion"/>
  </si>
  <si>
    <r>
      <t>Gaf*10</t>
    </r>
    <r>
      <rPr>
        <vertAlign val="superscript"/>
        <sz val="12"/>
        <rFont val="宋体"/>
        <family val="3"/>
        <charset val="134"/>
      </rPr>
      <t>6</t>
    </r>
    <r>
      <rPr>
        <sz val="12"/>
        <rFont val="宋体"/>
        <family val="3"/>
        <charset val="134"/>
      </rPr>
      <t>/V</t>
    </r>
    <r>
      <rPr>
        <vertAlign val="superscript"/>
        <sz val="12"/>
        <rFont val="宋体"/>
        <family val="3"/>
        <charset val="134"/>
      </rPr>
      <t>N</t>
    </r>
    <r>
      <rPr>
        <sz val="12"/>
        <rFont val="宋体"/>
        <family val="3"/>
        <charset val="134"/>
      </rPr>
      <t>ycj</t>
    </r>
    <phoneticPr fontId="1" type="noConversion"/>
  </si>
  <si>
    <t>C'i</t>
    <phoneticPr fontId="1" type="noConversion"/>
  </si>
  <si>
    <r>
      <t>mg/m</t>
    </r>
    <r>
      <rPr>
        <vertAlign val="superscript"/>
        <sz val="12"/>
        <color indexed="8"/>
        <rFont val="宋体"/>
        <family val="3"/>
        <charset val="134"/>
      </rPr>
      <t>3</t>
    </r>
    <phoneticPr fontId="1" type="noConversion"/>
  </si>
  <si>
    <r>
      <t>Gaf*10</t>
    </r>
    <r>
      <rPr>
        <vertAlign val="superscript"/>
        <sz val="12"/>
        <rFont val="宋体"/>
        <family val="3"/>
        <charset val="134"/>
      </rPr>
      <t>6</t>
    </r>
    <r>
      <rPr>
        <sz val="12"/>
        <rFont val="宋体"/>
        <family val="3"/>
        <charset val="134"/>
      </rPr>
      <t>/Vycj</t>
    </r>
    <phoneticPr fontId="1" type="noConversion"/>
  </si>
  <si>
    <t>ηc</t>
    <phoneticPr fontId="1" type="noConversion"/>
  </si>
  <si>
    <t>Co</t>
    <phoneticPr fontId="1" type="noConversion"/>
  </si>
  <si>
    <t>Ci*（1-ηc）</t>
    <phoneticPr fontId="1" type="noConversion"/>
  </si>
  <si>
    <t>G'af</t>
    <phoneticPr fontId="1" type="noConversion"/>
  </si>
  <si>
    <t>Gaf*（1-ηc）</t>
    <phoneticPr fontId="1" type="noConversion"/>
  </si>
  <si>
    <t>Af</t>
    <phoneticPr fontId="1" type="noConversion"/>
  </si>
  <si>
    <t>Gaf*ηc</t>
    <phoneticPr fontId="1" type="noConversion"/>
  </si>
  <si>
    <t>Vxf</t>
    <phoneticPr fontId="1" type="noConversion"/>
  </si>
  <si>
    <r>
      <t>m</t>
    </r>
    <r>
      <rPr>
        <vertAlign val="superscript"/>
        <sz val="12"/>
        <color indexed="8"/>
        <rFont val="宋体"/>
        <family val="3"/>
        <charset val="134"/>
      </rPr>
      <t>3</t>
    </r>
    <r>
      <rPr>
        <sz val="12"/>
        <color indexed="8"/>
        <rFont val="宋体"/>
        <family val="3"/>
        <charset val="134"/>
      </rPr>
      <t>/h</t>
    </r>
    <phoneticPr fontId="1" type="noConversion"/>
  </si>
  <si>
    <r>
      <t>Gaf*（1-ηc）*10</t>
    </r>
    <r>
      <rPr>
        <vertAlign val="superscript"/>
        <sz val="12"/>
        <rFont val="宋体"/>
        <family val="3"/>
        <charset val="134"/>
      </rPr>
      <t>6</t>
    </r>
    <r>
      <rPr>
        <sz val="12"/>
        <rFont val="宋体"/>
        <family val="3"/>
        <charset val="134"/>
      </rPr>
      <t>/Vxf</t>
    </r>
    <phoneticPr fontId="1" type="noConversion"/>
  </si>
  <si>
    <t>一</t>
    <phoneticPr fontId="1" type="noConversion"/>
  </si>
  <si>
    <t>炉内喷钙脱硫</t>
    <phoneticPr fontId="1" type="noConversion"/>
  </si>
  <si>
    <t xml:space="preserve">  炉内脱硫百分比</t>
    <phoneticPr fontId="1" type="noConversion"/>
  </si>
  <si>
    <r>
      <t xml:space="preserve">  炉内脱硫后SO</t>
    </r>
    <r>
      <rPr>
        <vertAlign val="subscript"/>
        <sz val="12"/>
        <color indexed="8"/>
        <rFont val="宋体"/>
        <family val="3"/>
        <charset val="134"/>
      </rPr>
      <t>2</t>
    </r>
    <r>
      <rPr>
        <sz val="12"/>
        <color indexed="8"/>
        <rFont val="宋体"/>
        <family val="3"/>
        <charset val="134"/>
      </rPr>
      <t>浓度</t>
    </r>
    <phoneticPr fontId="1" type="noConversion"/>
  </si>
  <si>
    <r>
      <t>C</t>
    </r>
    <r>
      <rPr>
        <vertAlign val="subscript"/>
        <sz val="9"/>
        <color indexed="8"/>
        <rFont val="宋体"/>
        <family val="3"/>
        <charset val="134"/>
      </rPr>
      <t>SO2(炉内)</t>
    </r>
    <phoneticPr fontId="1" type="noConversion"/>
  </si>
  <si>
    <r>
      <t xml:space="preserve">  脱除SO</t>
    </r>
    <r>
      <rPr>
        <vertAlign val="subscript"/>
        <sz val="12"/>
        <color indexed="8"/>
        <rFont val="宋体"/>
        <family val="3"/>
        <charset val="134"/>
      </rPr>
      <t>2</t>
    </r>
    <r>
      <rPr>
        <sz val="12"/>
        <color indexed="8"/>
        <rFont val="宋体"/>
        <family val="3"/>
        <charset val="134"/>
      </rPr>
      <t>质量</t>
    </r>
    <phoneticPr fontId="1" type="noConversion"/>
  </si>
  <si>
    <r>
      <t xml:space="preserve">  脱除SO</t>
    </r>
    <r>
      <rPr>
        <vertAlign val="subscript"/>
        <sz val="12"/>
        <color indexed="8"/>
        <rFont val="宋体"/>
        <family val="3"/>
        <charset val="134"/>
      </rPr>
      <t>2</t>
    </r>
    <r>
      <rPr>
        <sz val="12"/>
        <color indexed="8"/>
        <rFont val="宋体"/>
        <family val="3"/>
        <charset val="134"/>
      </rPr>
      <t>摩尔量</t>
    </r>
    <phoneticPr fontId="1" type="noConversion"/>
  </si>
  <si>
    <r>
      <t>SO</t>
    </r>
    <r>
      <rPr>
        <vertAlign val="subscript"/>
        <sz val="12"/>
        <color indexed="8"/>
        <rFont val="宋体"/>
        <family val="3"/>
        <charset val="134"/>
      </rPr>
      <t>2</t>
    </r>
    <r>
      <rPr>
        <sz val="12"/>
        <color indexed="8"/>
        <rFont val="宋体"/>
        <family val="3"/>
        <charset val="134"/>
      </rPr>
      <t>式量64</t>
    </r>
    <phoneticPr fontId="1" type="noConversion"/>
  </si>
  <si>
    <t xml:space="preserve">  钙硫摩尔比</t>
    <phoneticPr fontId="1" type="noConversion"/>
  </si>
  <si>
    <r>
      <t xml:space="preserve">  反应所需CaCO</t>
    </r>
    <r>
      <rPr>
        <vertAlign val="subscript"/>
        <sz val="12"/>
        <color indexed="8"/>
        <rFont val="宋体"/>
        <family val="3"/>
        <charset val="134"/>
      </rPr>
      <t>3</t>
    </r>
    <r>
      <rPr>
        <sz val="12"/>
        <color indexed="8"/>
        <rFont val="宋体"/>
        <family val="3"/>
        <charset val="134"/>
      </rPr>
      <t>摩尔量</t>
    </r>
    <phoneticPr fontId="1" type="noConversion"/>
  </si>
  <si>
    <r>
      <t xml:space="preserve">  反应所需CaCO</t>
    </r>
    <r>
      <rPr>
        <vertAlign val="subscript"/>
        <sz val="12"/>
        <color indexed="8"/>
        <rFont val="宋体"/>
        <family val="3"/>
        <charset val="134"/>
      </rPr>
      <t>3</t>
    </r>
    <r>
      <rPr>
        <sz val="12"/>
        <color indexed="8"/>
        <rFont val="宋体"/>
        <family val="3"/>
        <charset val="134"/>
      </rPr>
      <t>质量</t>
    </r>
    <phoneticPr fontId="1" type="noConversion"/>
  </si>
  <si>
    <r>
      <t>CaCO</t>
    </r>
    <r>
      <rPr>
        <vertAlign val="subscript"/>
        <sz val="12"/>
        <color indexed="8"/>
        <rFont val="宋体"/>
        <family val="3"/>
        <charset val="134"/>
      </rPr>
      <t>3</t>
    </r>
    <r>
      <rPr>
        <sz val="12"/>
        <color indexed="8"/>
        <rFont val="宋体"/>
        <family val="3"/>
        <charset val="134"/>
      </rPr>
      <t>式量100</t>
    </r>
    <phoneticPr fontId="1" type="noConversion"/>
  </si>
  <si>
    <r>
      <t xml:space="preserve">  参加反应CaCO</t>
    </r>
    <r>
      <rPr>
        <vertAlign val="subscript"/>
        <sz val="12"/>
        <color indexed="8"/>
        <rFont val="宋体"/>
        <family val="3"/>
        <charset val="134"/>
      </rPr>
      <t>3</t>
    </r>
    <r>
      <rPr>
        <sz val="12"/>
        <color indexed="8"/>
        <rFont val="宋体"/>
        <family val="3"/>
        <charset val="134"/>
      </rPr>
      <t>质量</t>
    </r>
    <phoneticPr fontId="1" type="noConversion"/>
  </si>
  <si>
    <r>
      <t xml:space="preserve">  反应生成CaSO</t>
    </r>
    <r>
      <rPr>
        <vertAlign val="subscript"/>
        <sz val="12"/>
        <color indexed="8"/>
        <rFont val="宋体"/>
        <family val="3"/>
        <charset val="134"/>
      </rPr>
      <t>4</t>
    </r>
    <r>
      <rPr>
        <sz val="12"/>
        <color indexed="8"/>
        <rFont val="宋体"/>
        <family val="3"/>
        <charset val="134"/>
      </rPr>
      <t>质量</t>
    </r>
    <phoneticPr fontId="1" type="noConversion"/>
  </si>
  <si>
    <r>
      <t>CaCO</t>
    </r>
    <r>
      <rPr>
        <vertAlign val="subscript"/>
        <sz val="12"/>
        <color indexed="8"/>
        <rFont val="宋体"/>
        <family val="3"/>
        <charset val="134"/>
      </rPr>
      <t>3</t>
    </r>
    <r>
      <rPr>
        <sz val="12"/>
        <color indexed="8"/>
        <rFont val="宋体"/>
        <family val="3"/>
        <charset val="134"/>
      </rPr>
      <t>-〉CaSO</t>
    </r>
    <r>
      <rPr>
        <vertAlign val="subscript"/>
        <sz val="12"/>
        <color indexed="8"/>
        <rFont val="宋体"/>
        <family val="3"/>
        <charset val="134"/>
      </rPr>
      <t>4</t>
    </r>
    <phoneticPr fontId="1" type="noConversion"/>
  </si>
  <si>
    <t xml:space="preserve">  反应后质量增加</t>
    <phoneticPr fontId="1" type="noConversion"/>
  </si>
  <si>
    <t xml:space="preserve">  石灰石纯度</t>
    <phoneticPr fontId="1" type="noConversion"/>
  </si>
  <si>
    <t xml:space="preserve">  石灰石耗量</t>
    <phoneticPr fontId="1" type="noConversion"/>
  </si>
  <si>
    <t xml:space="preserve">  炉内脱硫产生的灰渣量</t>
    <phoneticPr fontId="1" type="noConversion"/>
  </si>
  <si>
    <r>
      <t>G</t>
    </r>
    <r>
      <rPr>
        <sz val="12"/>
        <color indexed="8"/>
        <rFont val="宋体"/>
        <family val="3"/>
        <charset val="134"/>
      </rPr>
      <t>'</t>
    </r>
    <r>
      <rPr>
        <sz val="12"/>
        <color indexed="8"/>
        <rFont val="宋体"/>
        <family val="3"/>
        <charset val="134"/>
      </rPr>
      <t>zhb</t>
    </r>
  </si>
  <si>
    <t>炉内喷钙灰渣总量</t>
    <phoneticPr fontId="1" type="noConversion"/>
  </si>
  <si>
    <t>若无炉内喷钙则为0</t>
    <phoneticPr fontId="1" type="noConversion"/>
  </si>
  <si>
    <t>除尘器（烟囱）出口烟气浓度（标况）</t>
    <phoneticPr fontId="1" type="noConversion"/>
  </si>
  <si>
    <t>除尘器（烟囱）出口烟气飞灰量（标况）</t>
    <phoneticPr fontId="1" type="noConversion"/>
  </si>
  <si>
    <t>除尘器下灰量</t>
    <phoneticPr fontId="1" type="noConversion"/>
  </si>
  <si>
    <t>引风机进口烟气容积量(实态）</t>
    <phoneticPr fontId="1" type="noConversion"/>
  </si>
  <si>
    <t>烟囱出口烟气浓度（实态）</t>
    <phoneticPr fontId="1" type="noConversion"/>
  </si>
  <si>
    <t>除尘效率</t>
    <phoneticPr fontId="1" type="noConversion"/>
  </si>
  <si>
    <t>除尘器进口处烟气浓度(实态）</t>
    <phoneticPr fontId="1" type="noConversion"/>
  </si>
  <si>
    <t>标况下除尘器进口烟气浓度</t>
    <phoneticPr fontId="1" type="noConversion"/>
  </si>
  <si>
    <t>除尘器入口（锅炉出口）飞灰量</t>
    <phoneticPr fontId="1" type="noConversion"/>
  </si>
  <si>
    <r>
      <t>灰渣总量</t>
    </r>
    <r>
      <rPr>
        <sz val="12"/>
        <color indexed="8"/>
        <rFont val="宋体"/>
        <family val="3"/>
        <charset val="134"/>
      </rPr>
      <t>(炉内脱硫后)</t>
    </r>
    <phoneticPr fontId="1" type="noConversion"/>
  </si>
  <si>
    <t>标况下湿空气密度</t>
  </si>
  <si>
    <t>烟囱内烟气平均温度</t>
  </si>
  <si>
    <t>——</t>
  </si>
  <si>
    <t xml:space="preserve"> </t>
    <phoneticPr fontId="1" type="noConversion"/>
  </si>
  <si>
    <t>1、锅炉耗煤量</t>
    <phoneticPr fontId="14" type="noConversion"/>
  </si>
  <si>
    <t>锅炉日利用小时数</t>
    <phoneticPr fontId="14" type="noConversion"/>
  </si>
  <si>
    <t>Hd</t>
    <phoneticPr fontId="14" type="noConversion"/>
  </si>
  <si>
    <t>h</t>
    <phoneticPr fontId="14" type="noConversion"/>
  </si>
  <si>
    <t>20~22h</t>
    <phoneticPr fontId="14" type="noConversion"/>
  </si>
  <si>
    <t>日耗煤量</t>
    <phoneticPr fontId="14" type="noConversion"/>
  </si>
  <si>
    <t>Qd</t>
    <phoneticPr fontId="14" type="noConversion"/>
  </si>
  <si>
    <t>t/d</t>
    <phoneticPr fontId="14" type="noConversion"/>
  </si>
  <si>
    <t>Bj*Hd</t>
    <phoneticPr fontId="14" type="noConversion"/>
  </si>
  <si>
    <t>锅炉年利用小时数</t>
    <phoneticPr fontId="14" type="noConversion"/>
  </si>
  <si>
    <t>Ha</t>
    <phoneticPr fontId="14" type="noConversion"/>
  </si>
  <si>
    <t>年耗煤量</t>
    <phoneticPr fontId="14" type="noConversion"/>
  </si>
  <si>
    <t>Qa</t>
    <phoneticPr fontId="14" type="noConversion"/>
  </si>
  <si>
    <t>Bj*Ha</t>
    <phoneticPr fontId="14" type="noConversion"/>
  </si>
  <si>
    <t>Kb</t>
    <phoneticPr fontId="14" type="noConversion"/>
  </si>
  <si>
    <t>1.1~1.3</t>
    <phoneticPr fontId="14" type="noConversion"/>
  </si>
  <si>
    <t>铁路来煤日计算煤量</t>
    <phoneticPr fontId="14" type="noConversion"/>
  </si>
  <si>
    <t>Md</t>
    <phoneticPr fontId="14" type="noConversion"/>
  </si>
  <si>
    <t>t/d</t>
    <phoneticPr fontId="14" type="noConversion"/>
  </si>
  <si>
    <t>Kb*Qd</t>
    <phoneticPr fontId="14" type="noConversion"/>
  </si>
  <si>
    <t>汽车来煤日计算煤量</t>
    <phoneticPr fontId="14" type="noConversion"/>
  </si>
  <si>
    <t>Kb*Qa*Hd/Ha</t>
    <phoneticPr fontId="14" type="noConversion"/>
  </si>
  <si>
    <t>22*Bj*K/t</t>
    <phoneticPr fontId="1" type="noConversion"/>
  </si>
  <si>
    <t>锅炉每小时最大耗煤量</t>
    <phoneticPr fontId="14" type="noConversion"/>
  </si>
  <si>
    <t>锅炉每日运行时数</t>
    <phoneticPr fontId="14" type="noConversion"/>
  </si>
  <si>
    <t>T</t>
    <phoneticPr fontId="14" type="noConversion"/>
  </si>
  <si>
    <t>h</t>
    <phoneticPr fontId="14" type="noConversion"/>
  </si>
  <si>
    <t>煤的储备日数</t>
    <phoneticPr fontId="14" type="noConversion"/>
  </si>
  <si>
    <t>n</t>
    <phoneticPr fontId="14" type="noConversion"/>
  </si>
  <si>
    <t>QTNn/KHp</t>
    <phoneticPr fontId="14" type="noConversion"/>
  </si>
  <si>
    <t>3、炉前煤仓有效容积</t>
    <phoneticPr fontId="14" type="noConversion"/>
  </si>
  <si>
    <t>车辆名义载重量</t>
    <phoneticPr fontId="14" type="noConversion"/>
  </si>
  <si>
    <t>日计算受煤量</t>
    <phoneticPr fontId="14" type="noConversion"/>
  </si>
  <si>
    <t>t/d</t>
    <phoneticPr fontId="14" type="noConversion"/>
  </si>
  <si>
    <t>每昼夜小时</t>
    <phoneticPr fontId="14" type="noConversion"/>
  </si>
  <si>
    <t>1.2~1.5</t>
    <phoneticPr fontId="14" type="noConversion"/>
  </si>
  <si>
    <t>4、燃煤运输量</t>
    <phoneticPr fontId="14" type="noConversion"/>
  </si>
  <si>
    <t>单台</t>
    <phoneticPr fontId="14" type="noConversion"/>
  </si>
  <si>
    <t>每小时进场车次</t>
    <phoneticPr fontId="14" type="noConversion"/>
  </si>
  <si>
    <t>Ct</t>
    <phoneticPr fontId="14" type="noConversion"/>
  </si>
  <si>
    <t>次/h</t>
    <phoneticPr fontId="14" type="noConversion"/>
  </si>
  <si>
    <t>一</t>
    <phoneticPr fontId="14" type="noConversion"/>
  </si>
  <si>
    <t xml:space="preserve"> 《火力发电厂除灰设计规程》《小火规》</t>
    <phoneticPr fontId="1" type="noConversion"/>
  </si>
  <si>
    <t>除尘器计算</t>
    <phoneticPr fontId="14" type="noConversion"/>
  </si>
  <si>
    <t>二</t>
    <phoneticPr fontId="14" type="noConversion"/>
  </si>
  <si>
    <t>Gm</t>
    <phoneticPr fontId="1" type="noConversion"/>
  </si>
  <si>
    <t>t/h</t>
    <phoneticPr fontId="1" type="noConversion"/>
  </si>
  <si>
    <t>间断＞200%，连续＞150%</t>
    <phoneticPr fontId="1" type="noConversion"/>
  </si>
  <si>
    <t>干灰堆积密度</t>
    <phoneticPr fontId="1" type="noConversion"/>
  </si>
  <si>
    <t>Pa</t>
    <phoneticPr fontId="1" type="noConversion"/>
  </si>
  <si>
    <t>t/m³</t>
    <phoneticPr fontId="1" type="noConversion"/>
  </si>
  <si>
    <t>0.7~0.8</t>
    <phoneticPr fontId="1" type="noConversion"/>
  </si>
  <si>
    <t>灰库充满系数</t>
    <phoneticPr fontId="1" type="noConversion"/>
  </si>
  <si>
    <t>K</t>
    <phoneticPr fontId="1" type="noConversion"/>
  </si>
  <si>
    <t>0.7~0.8</t>
    <phoneticPr fontId="1" type="noConversion"/>
  </si>
  <si>
    <t>存灰时间</t>
    <phoneticPr fontId="1" type="noConversion"/>
  </si>
  <si>
    <t>T</t>
    <phoneticPr fontId="1" type="noConversion"/>
  </si>
  <si>
    <t>h</t>
    <phoneticPr fontId="1" type="noConversion"/>
  </si>
  <si>
    <t>1~2d，用户要求</t>
    <phoneticPr fontId="1" type="noConversion"/>
  </si>
  <si>
    <t>Va</t>
    <phoneticPr fontId="1" type="noConversion"/>
  </si>
  <si>
    <t>m³</t>
    <phoneticPr fontId="1" type="noConversion"/>
  </si>
  <si>
    <t>T*Gm/Pa/K</t>
    <phoneticPr fontId="1" type="noConversion"/>
  </si>
  <si>
    <t>灰库有效体积</t>
    <phoneticPr fontId="1" type="noConversion"/>
  </si>
  <si>
    <t>直径</t>
    <phoneticPr fontId="1" type="noConversion"/>
  </si>
  <si>
    <t>D</t>
    <phoneticPr fontId="1" type="noConversion"/>
  </si>
  <si>
    <t>m</t>
    <phoneticPr fontId="1" type="noConversion"/>
  </si>
  <si>
    <t>高度</t>
    <phoneticPr fontId="1" type="noConversion"/>
  </si>
  <si>
    <t>H</t>
    <phoneticPr fontId="1" type="noConversion"/>
  </si>
  <si>
    <t>除灰系统出力</t>
    <phoneticPr fontId="1" type="noConversion"/>
  </si>
  <si>
    <t>灰气比</t>
    <phoneticPr fontId="1" type="noConversion"/>
  </si>
  <si>
    <t>n</t>
    <phoneticPr fontId="1" type="noConversion"/>
  </si>
  <si>
    <t>7~20</t>
    <phoneticPr fontId="1" type="noConversion"/>
  </si>
  <si>
    <t>输灰系统耗气量</t>
    <phoneticPr fontId="1" type="noConversion"/>
  </si>
  <si>
    <t>Q</t>
    <phoneticPr fontId="1" type="noConversion"/>
  </si>
  <si>
    <t>1.2*16.67*Gm/n/1.293</t>
    <phoneticPr fontId="1" type="noConversion"/>
  </si>
  <si>
    <t>Nm³/min</t>
    <phoneticPr fontId="1" type="noConversion"/>
  </si>
  <si>
    <t>三</t>
    <phoneticPr fontId="14" type="noConversion"/>
  </si>
  <si>
    <t>输灰系统耗气量计算---罗兹风机</t>
    <phoneticPr fontId="14" type="noConversion"/>
  </si>
  <si>
    <t>除灰系统计算--低压力气力输送</t>
    <phoneticPr fontId="14" type="noConversion"/>
  </si>
  <si>
    <t>四</t>
    <phoneticPr fontId="14" type="noConversion"/>
  </si>
  <si>
    <t>除渣系统计算--机械除渣</t>
    <phoneticPr fontId="14" type="noConversion"/>
  </si>
  <si>
    <t>渣量</t>
    <phoneticPr fontId="1" type="noConversion"/>
  </si>
  <si>
    <t>Gz</t>
    <phoneticPr fontId="1" type="noConversion"/>
  </si>
  <si>
    <t>除渣系统出力</t>
    <phoneticPr fontId="1" type="noConversion"/>
  </si>
  <si>
    <t>Gzm</t>
    <phoneticPr fontId="1" type="noConversion"/>
  </si>
  <si>
    <t>冷渣机台数</t>
    <phoneticPr fontId="1" type="noConversion"/>
  </si>
  <si>
    <t>事故/运行</t>
    <phoneticPr fontId="1" type="noConversion"/>
  </si>
  <si>
    <t>冷渣机的出力（单台）</t>
    <phoneticPr fontId="1" type="noConversion"/>
  </si>
  <si>
    <t>除渣系统出力</t>
    <phoneticPr fontId="1" type="noConversion"/>
  </si>
  <si>
    <t>单台锅炉</t>
    <phoneticPr fontId="1" type="noConversion"/>
  </si>
  <si>
    <t>Glz</t>
    <phoneticPr fontId="1" type="noConversion"/>
  </si>
  <si>
    <t>2.5倍的冷渣机总出力</t>
    <phoneticPr fontId="1" type="noConversion"/>
  </si>
  <si>
    <t>耐高温带式输送机出力</t>
    <phoneticPr fontId="1" type="noConversion"/>
  </si>
  <si>
    <t>Gssm</t>
    <phoneticPr fontId="1" type="noConversion"/>
  </si>
  <si>
    <t>冷渣堆积密度</t>
    <phoneticPr fontId="1" type="noConversion"/>
  </si>
  <si>
    <t>渣库充满系数</t>
    <phoneticPr fontId="1" type="noConversion"/>
  </si>
  <si>
    <t>存渣时间</t>
    <phoneticPr fontId="1" type="noConversion"/>
  </si>
  <si>
    <t>渣库有效体积</t>
    <phoneticPr fontId="1" type="noConversion"/>
  </si>
  <si>
    <t>未含有5m的操作平台</t>
    <phoneticPr fontId="1" type="noConversion"/>
  </si>
  <si>
    <t>台数</t>
    <phoneticPr fontId="14" type="noConversion"/>
  </si>
  <si>
    <t>n</t>
    <phoneticPr fontId="14" type="noConversion"/>
  </si>
  <si>
    <t>富裕量</t>
    <phoneticPr fontId="14" type="noConversion"/>
  </si>
  <si>
    <t>k</t>
    <phoneticPr fontId="14" type="noConversion"/>
  </si>
  <si>
    <t>%</t>
    <phoneticPr fontId="14" type="noConversion"/>
  </si>
  <si>
    <t>单台给煤机出力</t>
    <phoneticPr fontId="14" type="noConversion"/>
  </si>
  <si>
    <t>Qgm</t>
    <phoneticPr fontId="14" type="noConversion"/>
  </si>
  <si>
    <t>t/h</t>
    <phoneticPr fontId="14" type="noConversion"/>
  </si>
  <si>
    <t>Bj/n*k</t>
    <phoneticPr fontId="14" type="noConversion"/>
  </si>
  <si>
    <t>给定</t>
    <phoneticPr fontId="14" type="noConversion"/>
  </si>
  <si>
    <t>除铁器设置在采光间</t>
    <phoneticPr fontId="14" type="noConversion"/>
  </si>
  <si>
    <t>给定</t>
    <phoneticPr fontId="14" type="noConversion"/>
  </si>
  <si>
    <t>机械效率</t>
    <phoneticPr fontId="14" type="noConversion"/>
  </si>
  <si>
    <r>
      <t>η</t>
    </r>
    <r>
      <rPr>
        <vertAlign val="subscript"/>
        <sz val="12"/>
        <rFont val="Times New Roman"/>
        <family val="1"/>
      </rPr>
      <t>m</t>
    </r>
    <phoneticPr fontId="14" type="noConversion"/>
  </si>
  <si>
    <t>发电机效率</t>
    <phoneticPr fontId="14" type="noConversion"/>
  </si>
  <si>
    <r>
      <t>η</t>
    </r>
    <r>
      <rPr>
        <vertAlign val="subscript"/>
        <sz val="12"/>
        <rFont val="Times New Roman"/>
        <family val="1"/>
      </rPr>
      <t>g</t>
    </r>
    <phoneticPr fontId="14" type="noConversion"/>
  </si>
  <si>
    <t>Mpa</t>
    <phoneticPr fontId="14" type="noConversion"/>
  </si>
  <si>
    <t>设计参数</t>
  </si>
  <si>
    <t>t/h</t>
    <phoneticPr fontId="14" type="noConversion"/>
  </si>
  <si>
    <t>热源产生主蒸汽总流量</t>
    <phoneticPr fontId="14" type="noConversion"/>
  </si>
  <si>
    <t>熵</t>
    <phoneticPr fontId="14" type="noConversion"/>
  </si>
  <si>
    <t>kJ/(kg·℃)</t>
    <phoneticPr fontId="14" type="noConversion"/>
  </si>
  <si>
    <t>Mpa</t>
    <phoneticPr fontId="14" type="noConversion"/>
  </si>
  <si>
    <t>熵</t>
    <phoneticPr fontId="14" type="noConversion"/>
  </si>
  <si>
    <t>S'</t>
    <phoneticPr fontId="14" type="noConversion"/>
  </si>
  <si>
    <t>kJ/(kg·℃)</t>
    <phoneticPr fontId="14" type="noConversion"/>
  </si>
  <si>
    <t>主蒸汽绝热等熵</t>
    <phoneticPr fontId="14" type="noConversion"/>
  </si>
  <si>
    <t>〔17〕</t>
  </si>
  <si>
    <t>焓</t>
    <phoneticPr fontId="14" type="noConversion"/>
  </si>
  <si>
    <t>kJ/kg</t>
    <phoneticPr fontId="14" type="noConversion"/>
  </si>
  <si>
    <t>〔18〕</t>
  </si>
  <si>
    <t>查表</t>
    <phoneticPr fontId="14" type="noConversion"/>
  </si>
  <si>
    <t>〔19〕</t>
  </si>
  <si>
    <t>P3</t>
    <phoneticPr fontId="14" type="noConversion"/>
  </si>
  <si>
    <t>Mpa</t>
    <phoneticPr fontId="14" type="noConversion"/>
  </si>
  <si>
    <t>湿冷：0.005～0.007 空冷0.015</t>
    <phoneticPr fontId="14" type="noConversion"/>
  </si>
  <si>
    <t>〔20〕</t>
  </si>
  <si>
    <t>Ipo</t>
    <phoneticPr fontId="14" type="noConversion"/>
  </si>
  <si>
    <t>汽轮机绝热等熵做功排汽焓值，查表</t>
    <phoneticPr fontId="14" type="noConversion"/>
  </si>
  <si>
    <t>〔21〕</t>
  </si>
  <si>
    <t>〔22〕</t>
  </si>
  <si>
    <t>〔23〕</t>
  </si>
  <si>
    <t>〔24〕</t>
  </si>
  <si>
    <t>饱和水焓</t>
    <phoneticPr fontId="14" type="noConversion"/>
  </si>
  <si>
    <t>℃</t>
    <phoneticPr fontId="14" type="noConversion"/>
  </si>
  <si>
    <t>t/h</t>
    <phoneticPr fontId="14" type="noConversion"/>
  </si>
  <si>
    <t>给定</t>
    <phoneticPr fontId="14" type="noConversion"/>
  </si>
  <si>
    <t>温度</t>
    <phoneticPr fontId="14" type="noConversion"/>
  </si>
  <si>
    <t>设计参数</t>
    <phoneticPr fontId="14" type="noConversion"/>
  </si>
  <si>
    <t>流量</t>
    <phoneticPr fontId="14" type="noConversion"/>
  </si>
  <si>
    <t>S'</t>
    <phoneticPr fontId="14" type="noConversion"/>
  </si>
  <si>
    <t>主蒸汽绝热等熵</t>
    <phoneticPr fontId="14" type="noConversion"/>
  </si>
  <si>
    <t>Izob</t>
    <phoneticPr fontId="14" type="noConversion"/>
  </si>
  <si>
    <t>KW</t>
    <phoneticPr fontId="14" type="noConversion"/>
  </si>
  <si>
    <t>GH2</t>
    <phoneticPr fontId="14" type="noConversion"/>
  </si>
  <si>
    <t>HH1至HH2功率</t>
    <phoneticPr fontId="14" type="noConversion"/>
  </si>
  <si>
    <t>D除氧    压力</t>
    <phoneticPr fontId="14" type="noConversion"/>
  </si>
  <si>
    <t>〔25〕</t>
  </si>
  <si>
    <t>GD</t>
    <phoneticPr fontId="14" type="noConversion"/>
  </si>
  <si>
    <t>〔26〕</t>
  </si>
  <si>
    <t>HH2至D功率</t>
    <phoneticPr fontId="14" type="noConversion"/>
  </si>
  <si>
    <t>P4</t>
    <phoneticPr fontId="14" type="noConversion"/>
  </si>
  <si>
    <t>〔27〕</t>
  </si>
  <si>
    <t>P2'</t>
    <phoneticPr fontId="14" type="noConversion"/>
  </si>
  <si>
    <t>〔28〕</t>
  </si>
  <si>
    <t>〔29〕</t>
  </si>
  <si>
    <t>〔30〕</t>
  </si>
  <si>
    <t>实际焓值</t>
    <phoneticPr fontId="14" type="noConversion"/>
  </si>
  <si>
    <t>〔32〕</t>
  </si>
  <si>
    <t>G2</t>
    <phoneticPr fontId="14" type="noConversion"/>
  </si>
  <si>
    <t>〔33〕</t>
  </si>
  <si>
    <t>P1</t>
    <phoneticPr fontId="14" type="noConversion"/>
  </si>
  <si>
    <t>〔34〕</t>
  </si>
  <si>
    <t>1#低加    压力</t>
    <phoneticPr fontId="14" type="noConversion"/>
  </si>
  <si>
    <t>〔35〕</t>
  </si>
  <si>
    <t>〔36〕</t>
  </si>
  <si>
    <t>〔37〕</t>
  </si>
  <si>
    <t>〔38〕</t>
  </si>
  <si>
    <t>GL2</t>
    <phoneticPr fontId="14" type="noConversion"/>
  </si>
  <si>
    <t>〔39〕</t>
  </si>
  <si>
    <t>P5</t>
    <phoneticPr fontId="14" type="noConversion"/>
  </si>
  <si>
    <t>〔40〕</t>
  </si>
  <si>
    <t>2#低加    压力</t>
    <phoneticPr fontId="14" type="noConversion"/>
  </si>
  <si>
    <t>〔41〕</t>
  </si>
  <si>
    <t>〔42〕</t>
  </si>
  <si>
    <t>〔43〕</t>
  </si>
  <si>
    <t>〔44〕</t>
  </si>
  <si>
    <t>〔45〕</t>
  </si>
  <si>
    <t>LH1至LH2功率</t>
    <phoneticPr fontId="14" type="noConversion"/>
  </si>
  <si>
    <t>P6</t>
    <phoneticPr fontId="14" type="noConversion"/>
  </si>
  <si>
    <t>〔46〕</t>
  </si>
  <si>
    <t>〔47〕</t>
  </si>
  <si>
    <t>〔48〕</t>
  </si>
  <si>
    <t>〔49〕</t>
  </si>
  <si>
    <t>实际焓</t>
    <phoneticPr fontId="14" type="noConversion"/>
  </si>
  <si>
    <t>Ipo‘</t>
    <phoneticPr fontId="14" type="noConversion"/>
  </si>
  <si>
    <t>kJ/kg</t>
  </si>
  <si>
    <t>〔50〕</t>
  </si>
  <si>
    <t>饱和蒸汽焓</t>
    <phoneticPr fontId="14" type="noConversion"/>
  </si>
  <si>
    <t>Ipog</t>
    <phoneticPr fontId="14" type="noConversion"/>
  </si>
  <si>
    <t>〔51〕</t>
  </si>
  <si>
    <t>Ipos</t>
    <phoneticPr fontId="14" type="noConversion"/>
  </si>
  <si>
    <t>〔52〕</t>
  </si>
  <si>
    <t>干度</t>
    <phoneticPr fontId="14" type="noConversion"/>
  </si>
  <si>
    <t>x</t>
    <phoneticPr fontId="14" type="noConversion"/>
  </si>
  <si>
    <t>〔53〕</t>
  </si>
  <si>
    <t>压力提高，排汽干度降低；</t>
    <phoneticPr fontId="14" type="noConversion"/>
  </si>
  <si>
    <t>〔54〕</t>
  </si>
  <si>
    <t>LH2至乏汽功率</t>
    <phoneticPr fontId="14" type="noConversion"/>
  </si>
  <si>
    <t>〔55〕</t>
  </si>
  <si>
    <t>〔56〕</t>
  </si>
  <si>
    <t>序号</t>
    <phoneticPr fontId="14" type="noConversion"/>
  </si>
  <si>
    <t>给定</t>
    <phoneticPr fontId="14" type="noConversion"/>
  </si>
  <si>
    <t>Mpa</t>
    <phoneticPr fontId="14" type="noConversion"/>
  </si>
  <si>
    <t>设计参数</t>
    <phoneticPr fontId="14" type="noConversion"/>
  </si>
  <si>
    <t>℃</t>
    <phoneticPr fontId="14" type="noConversion"/>
  </si>
  <si>
    <t>G1</t>
    <phoneticPr fontId="14" type="noConversion"/>
  </si>
  <si>
    <t>t/h</t>
    <phoneticPr fontId="14" type="noConversion"/>
  </si>
  <si>
    <t>〔1〕</t>
    <phoneticPr fontId="14" type="noConversion"/>
  </si>
  <si>
    <t>汽轮机内效率</t>
    <phoneticPr fontId="14" type="noConversion"/>
  </si>
  <si>
    <r>
      <t>η</t>
    </r>
    <r>
      <rPr>
        <vertAlign val="subscript"/>
        <sz val="12"/>
        <rFont val="Times New Roman"/>
        <family val="1"/>
      </rPr>
      <t>Ti</t>
    </r>
    <phoneticPr fontId="14" type="noConversion"/>
  </si>
  <si>
    <t>机械效率</t>
    <phoneticPr fontId="14" type="noConversion"/>
  </si>
  <si>
    <r>
      <t>η</t>
    </r>
    <r>
      <rPr>
        <vertAlign val="subscript"/>
        <sz val="12"/>
        <rFont val="Times New Roman"/>
        <family val="1"/>
      </rPr>
      <t>m</t>
    </r>
    <phoneticPr fontId="14" type="noConversion"/>
  </si>
  <si>
    <t>发电机效率</t>
    <phoneticPr fontId="14" type="noConversion"/>
  </si>
  <si>
    <r>
      <t>η</t>
    </r>
    <r>
      <rPr>
        <vertAlign val="subscript"/>
        <sz val="12"/>
        <rFont val="Times New Roman"/>
        <family val="1"/>
      </rPr>
      <t>g</t>
    </r>
    <phoneticPr fontId="14" type="noConversion"/>
  </si>
  <si>
    <t>主蒸汽      压力</t>
    <phoneticPr fontId="14" type="noConversion"/>
  </si>
  <si>
    <t>温度</t>
    <phoneticPr fontId="14" type="noConversion"/>
  </si>
  <si>
    <t>流量</t>
    <phoneticPr fontId="14" type="noConversion"/>
  </si>
  <si>
    <t>热源产生主蒸汽总流量</t>
    <phoneticPr fontId="14" type="noConversion"/>
  </si>
  <si>
    <t>熵</t>
    <phoneticPr fontId="14" type="noConversion"/>
  </si>
  <si>
    <t>kJ/(kg·℃)</t>
    <phoneticPr fontId="14" type="noConversion"/>
  </si>
  <si>
    <t>查表</t>
    <phoneticPr fontId="14" type="noConversion"/>
  </si>
  <si>
    <t>焓</t>
    <phoneticPr fontId="14" type="noConversion"/>
  </si>
  <si>
    <t>Izo</t>
    <phoneticPr fontId="14" type="noConversion"/>
  </si>
  <si>
    <t>kJ/kg</t>
    <phoneticPr fontId="14" type="noConversion"/>
  </si>
  <si>
    <t>P2'</t>
    <phoneticPr fontId="14" type="noConversion"/>
  </si>
  <si>
    <t>Mpa</t>
    <phoneticPr fontId="14" type="noConversion"/>
  </si>
  <si>
    <t>设计参数</t>
    <phoneticPr fontId="14" type="noConversion"/>
  </si>
  <si>
    <t>温度</t>
    <phoneticPr fontId="14" type="noConversion"/>
  </si>
  <si>
    <t>℃</t>
    <phoneticPr fontId="14" type="noConversion"/>
  </si>
  <si>
    <t>S'</t>
    <phoneticPr fontId="14" type="noConversion"/>
  </si>
  <si>
    <t>主蒸汽绝热等熵</t>
    <phoneticPr fontId="14" type="noConversion"/>
  </si>
  <si>
    <t>Izob</t>
    <phoneticPr fontId="14" type="noConversion"/>
  </si>
  <si>
    <t>流量</t>
    <phoneticPr fontId="14" type="noConversion"/>
  </si>
  <si>
    <t>G2</t>
    <phoneticPr fontId="14" type="noConversion"/>
  </si>
  <si>
    <t>t/h</t>
    <phoneticPr fontId="14" type="noConversion"/>
  </si>
  <si>
    <t>G</t>
    <phoneticPr fontId="14" type="noConversion"/>
  </si>
  <si>
    <t>G1+G2</t>
    <phoneticPr fontId="14" type="noConversion"/>
  </si>
  <si>
    <t>压力</t>
    <phoneticPr fontId="14" type="noConversion"/>
  </si>
  <si>
    <t>焓</t>
    <phoneticPr fontId="14" type="noConversion"/>
  </si>
  <si>
    <r>
      <t>I</t>
    </r>
    <r>
      <rPr>
        <vertAlign val="subscript"/>
        <sz val="11"/>
        <rFont val="宋体"/>
        <family val="3"/>
        <charset val="134"/>
      </rPr>
      <t>h</t>
    </r>
    <phoneticPr fontId="14" type="noConversion"/>
  </si>
  <si>
    <t>kJ/kg</t>
    <phoneticPr fontId="14" type="noConversion"/>
  </si>
  <si>
    <t>（（G1-G3）*Izob+G2*Izo'）/G</t>
    <phoneticPr fontId="14" type="noConversion"/>
  </si>
  <si>
    <t>熵</t>
    <phoneticPr fontId="14" type="noConversion"/>
  </si>
  <si>
    <r>
      <t>S</t>
    </r>
    <r>
      <rPr>
        <vertAlign val="subscript"/>
        <sz val="11"/>
        <rFont val="宋体"/>
        <family val="3"/>
        <charset val="134"/>
      </rPr>
      <t>h</t>
    </r>
    <phoneticPr fontId="14" type="noConversion"/>
  </si>
  <si>
    <t>kJ/(kg·℃)</t>
    <phoneticPr fontId="14" type="noConversion"/>
  </si>
  <si>
    <t>查表</t>
    <phoneticPr fontId="14" type="noConversion"/>
  </si>
  <si>
    <t>乏汽             压力</t>
    <phoneticPr fontId="14" type="noConversion"/>
  </si>
  <si>
    <t>P3</t>
    <phoneticPr fontId="14" type="noConversion"/>
  </si>
  <si>
    <t>湿冷：0.005～0.007 空冷0.015</t>
    <phoneticPr fontId="14" type="noConversion"/>
  </si>
  <si>
    <t>焓</t>
    <phoneticPr fontId="14" type="noConversion"/>
  </si>
  <si>
    <t>Ipo</t>
    <phoneticPr fontId="14" type="noConversion"/>
  </si>
  <si>
    <t>kJ/kg</t>
    <phoneticPr fontId="14" type="noConversion"/>
  </si>
  <si>
    <t>汽轮机绝热等熵做功排汽焓值，查表</t>
    <phoneticPr fontId="14" type="noConversion"/>
  </si>
  <si>
    <t>总发电量</t>
    <phoneticPr fontId="14" type="noConversion"/>
  </si>
  <si>
    <t>P</t>
    <phoneticPr fontId="14" type="noConversion"/>
  </si>
  <si>
    <t>kw</t>
    <phoneticPr fontId="14" type="noConversion"/>
  </si>
  <si>
    <t>去除抽汽后</t>
    <phoneticPr fontId="14" type="noConversion"/>
  </si>
  <si>
    <t>MW</t>
    <phoneticPr fontId="14" type="noConversion"/>
  </si>
  <si>
    <t>经验值：有高加0.85；无高加0.9；无低价0.95</t>
    <phoneticPr fontId="14" type="noConversion"/>
  </si>
  <si>
    <t>选定</t>
    <phoneticPr fontId="14" type="noConversion"/>
  </si>
  <si>
    <t>全厂汽水损失</t>
    <phoneticPr fontId="14" type="noConversion"/>
  </si>
  <si>
    <t>根据情况选择加热器形式：汇集式或者疏水放流式加热器，汇集式带疏水泵将疏水打至给水；假定换热效率0.98</t>
    <phoneticPr fontId="14" type="noConversion"/>
  </si>
  <si>
    <t>给水出水温度</t>
    <phoneticPr fontId="14" type="noConversion"/>
  </si>
  <si>
    <t>给水出口焓</t>
    <phoneticPr fontId="14" type="noConversion"/>
  </si>
  <si>
    <t>上端差</t>
    <phoneticPr fontId="14" type="noConversion"/>
  </si>
  <si>
    <t>饱和水温度--加热器疏水温度</t>
    <phoneticPr fontId="14" type="noConversion"/>
  </si>
  <si>
    <t>饱和水焓</t>
    <phoneticPr fontId="14" type="noConversion"/>
  </si>
  <si>
    <t>工作压力</t>
    <phoneticPr fontId="14" type="noConversion"/>
  </si>
  <si>
    <t>抽汽管压损</t>
    <phoneticPr fontId="14" type="noConversion"/>
  </si>
  <si>
    <t>抽汽压力</t>
    <phoneticPr fontId="14" type="noConversion"/>
  </si>
  <si>
    <t>抽汽焓</t>
    <phoneticPr fontId="14" type="noConversion"/>
  </si>
  <si>
    <t>抽汽量</t>
    <phoneticPr fontId="14" type="noConversion"/>
  </si>
  <si>
    <t>符号</t>
    <phoneticPr fontId="14" type="noConversion"/>
  </si>
  <si>
    <r>
      <t>t</t>
    </r>
    <r>
      <rPr>
        <sz val="9"/>
        <rFont val="宋体"/>
        <family val="3"/>
        <charset val="134"/>
      </rPr>
      <t>w2</t>
    </r>
    <phoneticPr fontId="14" type="noConversion"/>
  </si>
  <si>
    <r>
      <t>h</t>
    </r>
    <r>
      <rPr>
        <sz val="9"/>
        <rFont val="宋体"/>
        <family val="3"/>
        <charset val="134"/>
      </rPr>
      <t>w2</t>
    </r>
    <phoneticPr fontId="14" type="noConversion"/>
  </si>
  <si>
    <t>φ</t>
    <phoneticPr fontId="14" type="noConversion"/>
  </si>
  <si>
    <r>
      <t>t</t>
    </r>
    <r>
      <rPr>
        <sz val="9"/>
        <rFont val="宋体"/>
        <family val="3"/>
        <charset val="134"/>
      </rPr>
      <t>e‘</t>
    </r>
    <phoneticPr fontId="14" type="noConversion"/>
  </si>
  <si>
    <r>
      <t>h</t>
    </r>
    <r>
      <rPr>
        <sz val="10"/>
        <rFont val="宋体"/>
        <family val="3"/>
        <charset val="134"/>
      </rPr>
      <t>e</t>
    </r>
    <r>
      <rPr>
        <sz val="11"/>
        <rFont val="宋体"/>
        <family val="3"/>
        <charset val="134"/>
      </rPr>
      <t>’</t>
    </r>
    <phoneticPr fontId="14" type="noConversion"/>
  </si>
  <si>
    <r>
      <t>p</t>
    </r>
    <r>
      <rPr>
        <sz val="9"/>
        <rFont val="宋体"/>
        <family val="3"/>
        <charset val="134"/>
      </rPr>
      <t>e‘</t>
    </r>
    <phoneticPr fontId="14" type="noConversion"/>
  </si>
  <si>
    <t>ΔPe</t>
    <phoneticPr fontId="14" type="noConversion"/>
  </si>
  <si>
    <t>Pe</t>
    <phoneticPr fontId="14" type="noConversion"/>
  </si>
  <si>
    <r>
      <t>h</t>
    </r>
    <r>
      <rPr>
        <sz val="10"/>
        <rFont val="宋体"/>
        <family val="3"/>
        <charset val="134"/>
      </rPr>
      <t>e</t>
    </r>
    <phoneticPr fontId="14" type="noConversion"/>
  </si>
  <si>
    <t>Δde‘</t>
    <phoneticPr fontId="14" type="noConversion"/>
  </si>
  <si>
    <t>单位</t>
    <phoneticPr fontId="14" type="noConversion"/>
  </si>
  <si>
    <t>℃</t>
    <phoneticPr fontId="14" type="noConversion"/>
  </si>
  <si>
    <t>kj/kg</t>
    <phoneticPr fontId="14" type="noConversion"/>
  </si>
  <si>
    <t>HH1</t>
    <phoneticPr fontId="14" type="noConversion"/>
  </si>
  <si>
    <t>HH2</t>
    <phoneticPr fontId="14" type="noConversion"/>
  </si>
  <si>
    <t>假设</t>
    <phoneticPr fontId="14" type="noConversion"/>
  </si>
  <si>
    <t>化学补水</t>
    <phoneticPr fontId="14" type="noConversion"/>
  </si>
  <si>
    <t>温度：</t>
    <phoneticPr fontId="14" type="noConversion"/>
  </si>
  <si>
    <t>压力：</t>
    <phoneticPr fontId="14" type="noConversion"/>
  </si>
  <si>
    <t>焓值：</t>
    <phoneticPr fontId="14" type="noConversion"/>
  </si>
  <si>
    <t>量：</t>
    <phoneticPr fontId="14" type="noConversion"/>
  </si>
  <si>
    <t>D</t>
    <phoneticPr fontId="14" type="noConversion"/>
  </si>
  <si>
    <t>LH1</t>
    <phoneticPr fontId="14" type="noConversion"/>
  </si>
  <si>
    <t>LH2</t>
    <phoneticPr fontId="14" type="noConversion"/>
  </si>
  <si>
    <t>C</t>
    <phoneticPr fontId="14" type="noConversion"/>
  </si>
  <si>
    <t>注意：除氧器压力、温度选择原则---大气式除氧器0.02MPa，104℃；中压除氧器0.3MPa，130℃；高压除氧器0.5MPa，159℃；压力均为表压；抽汽压力略高于除氧压力</t>
    <phoneticPr fontId="14" type="noConversion"/>
  </si>
  <si>
    <t>〔1〕</t>
    <phoneticPr fontId="14" type="noConversion"/>
  </si>
  <si>
    <t>汽轮机内效率</t>
    <phoneticPr fontId="14" type="noConversion"/>
  </si>
  <si>
    <r>
      <t>η</t>
    </r>
    <r>
      <rPr>
        <vertAlign val="subscript"/>
        <sz val="12"/>
        <rFont val="Times New Roman"/>
        <family val="1"/>
      </rPr>
      <t>Ti</t>
    </r>
    <phoneticPr fontId="14" type="noConversion"/>
  </si>
  <si>
    <t>主蒸汽       压力</t>
    <phoneticPr fontId="14" type="noConversion"/>
  </si>
  <si>
    <t>温度</t>
    <phoneticPr fontId="14" type="noConversion"/>
  </si>
  <si>
    <t>设计参数</t>
    <phoneticPr fontId="14" type="noConversion"/>
  </si>
  <si>
    <t>流量</t>
    <phoneticPr fontId="14" type="noConversion"/>
  </si>
  <si>
    <t>G1</t>
    <phoneticPr fontId="14" type="noConversion"/>
  </si>
  <si>
    <t>熵</t>
    <phoneticPr fontId="14" type="noConversion"/>
  </si>
  <si>
    <t>kJ/(kg·℃)</t>
    <phoneticPr fontId="14" type="noConversion"/>
  </si>
  <si>
    <t>查表</t>
    <phoneticPr fontId="14" type="noConversion"/>
  </si>
  <si>
    <t>Izo</t>
    <phoneticPr fontId="14" type="noConversion"/>
  </si>
  <si>
    <t>1#高压    压力</t>
    <phoneticPr fontId="14" type="noConversion"/>
  </si>
  <si>
    <t>S'</t>
    <phoneticPr fontId="14" type="noConversion"/>
  </si>
  <si>
    <t>主蒸汽绝热等熵</t>
    <phoneticPr fontId="14" type="noConversion"/>
  </si>
  <si>
    <t>Izob</t>
    <phoneticPr fontId="14" type="noConversion"/>
  </si>
  <si>
    <t>GH1</t>
    <phoneticPr fontId="14" type="noConversion"/>
  </si>
  <si>
    <t>主汽至HH1功率</t>
    <phoneticPr fontId="14" type="noConversion"/>
  </si>
  <si>
    <t>P2</t>
    <phoneticPr fontId="14" type="noConversion"/>
  </si>
  <si>
    <t>KW</t>
    <phoneticPr fontId="14" type="noConversion"/>
  </si>
  <si>
    <t>2#高压    压力</t>
    <phoneticPr fontId="14" type="noConversion"/>
  </si>
  <si>
    <t>P7</t>
    <phoneticPr fontId="14" type="noConversion"/>
  </si>
  <si>
    <t>总功率</t>
    <phoneticPr fontId="14" type="noConversion"/>
  </si>
  <si>
    <t>计算误差</t>
    <phoneticPr fontId="14" type="noConversion"/>
  </si>
  <si>
    <t>±3%以内</t>
    <phoneticPr fontId="14" type="noConversion"/>
  </si>
  <si>
    <t>Q</t>
    <phoneticPr fontId="14" type="noConversion"/>
  </si>
  <si>
    <t>1000KJ/h</t>
    <phoneticPr fontId="14" type="noConversion"/>
  </si>
  <si>
    <t>q</t>
    <phoneticPr fontId="14" type="noConversion"/>
  </si>
  <si>
    <t>kj/（kw.h）</t>
    <phoneticPr fontId="14" type="noConversion"/>
  </si>
  <si>
    <t>汽耗率</t>
    <phoneticPr fontId="14" type="noConversion"/>
  </si>
  <si>
    <t>d</t>
    <phoneticPr fontId="14" type="noConversion"/>
  </si>
  <si>
    <t>kg/kw.h</t>
    <phoneticPr fontId="14" type="noConversion"/>
  </si>
  <si>
    <t>标准煤耗量</t>
    <phoneticPr fontId="14" type="noConversion"/>
  </si>
  <si>
    <t>B</t>
    <phoneticPr fontId="14" type="noConversion"/>
  </si>
  <si>
    <t>kg/h</t>
    <phoneticPr fontId="14" type="noConversion"/>
  </si>
  <si>
    <t>29308kj/kg 标煤热值；7000大卡</t>
    <phoneticPr fontId="14" type="noConversion"/>
  </si>
  <si>
    <t>煤耗率</t>
    <phoneticPr fontId="14" type="noConversion"/>
  </si>
  <si>
    <t>b</t>
    <phoneticPr fontId="14" type="noConversion"/>
  </si>
  <si>
    <t>全厂热效率</t>
    <phoneticPr fontId="14" type="noConversion"/>
  </si>
  <si>
    <t>ηe</t>
    <phoneticPr fontId="14" type="noConversion"/>
  </si>
  <si>
    <t>中小型凝汽式发电机组总效率约为30%左右</t>
    <phoneticPr fontId="14" type="noConversion"/>
  </si>
  <si>
    <t>年利用小时数</t>
    <phoneticPr fontId="14" type="noConversion"/>
  </si>
  <si>
    <t>T</t>
    <phoneticPr fontId="14" type="noConversion"/>
  </si>
  <si>
    <t>h</t>
    <phoneticPr fontId="14" type="noConversion"/>
  </si>
  <si>
    <t>年发电量</t>
    <phoneticPr fontId="14" type="noConversion"/>
  </si>
  <si>
    <r>
      <t>10</t>
    </r>
    <r>
      <rPr>
        <vertAlign val="superscript"/>
        <sz val="12"/>
        <rFont val="宋体"/>
        <family val="3"/>
        <charset val="134"/>
      </rPr>
      <t>4</t>
    </r>
    <r>
      <rPr>
        <sz val="12"/>
        <rFont val="宋体"/>
        <family val="3"/>
        <charset val="134"/>
      </rPr>
      <t>Kw.h</t>
    </r>
    <phoneticPr fontId="14" type="noConversion"/>
  </si>
  <si>
    <t>电站自耗电功率</t>
    <phoneticPr fontId="14" type="noConversion"/>
  </si>
  <si>
    <t>Kwh</t>
    <phoneticPr fontId="14" type="noConversion"/>
  </si>
  <si>
    <t>电站自耗电率</t>
    <phoneticPr fontId="14" type="noConversion"/>
  </si>
  <si>
    <t>%</t>
    <phoneticPr fontId="14" type="noConversion"/>
  </si>
  <si>
    <t>年外供电量</t>
    <phoneticPr fontId="14" type="noConversion"/>
  </si>
  <si>
    <t>年节约标煤</t>
    <phoneticPr fontId="14" type="noConversion"/>
  </si>
  <si>
    <t>等价</t>
    <phoneticPr fontId="14" type="noConversion"/>
  </si>
  <si>
    <t>万吨</t>
    <phoneticPr fontId="14" type="noConversion"/>
  </si>
  <si>
    <t>国家统计局：每度电折0.404kg 标煤</t>
    <phoneticPr fontId="14" type="noConversion"/>
  </si>
  <si>
    <t>当量</t>
    <phoneticPr fontId="14" type="noConversion"/>
  </si>
  <si>
    <t>电力：每度电折0.1229kg 标煤</t>
    <phoneticPr fontId="14" type="noConversion"/>
  </si>
  <si>
    <t>电力行业</t>
    <phoneticPr fontId="14" type="noConversion"/>
  </si>
  <si>
    <t>360g</t>
    <phoneticPr fontId="14" type="noConversion"/>
  </si>
  <si>
    <t>1、发电功率估算</t>
    <phoneticPr fontId="14" type="noConversion"/>
  </si>
  <si>
    <t>2、汽轮机回热系统计算--高压设5-6回热，给水温度210-230；中温中压4-5及回热，给水温度150-170；1.3MPa低压2级回热，给水温度104；2.4MPa低压3-4级回热，给水温度150；</t>
    <phoneticPr fontId="14" type="noConversion"/>
  </si>
  <si>
    <t>抽汽点      压力</t>
    <phoneticPr fontId="14" type="noConversion"/>
  </si>
  <si>
    <t>抽汽后蒸汽量</t>
    <phoneticPr fontId="14" type="noConversion"/>
  </si>
  <si>
    <t>抽汽点    压力</t>
    <phoneticPr fontId="14" type="noConversion"/>
  </si>
  <si>
    <t>D至抽汽功率</t>
    <phoneticPr fontId="14" type="noConversion"/>
  </si>
  <si>
    <t>(Ipo'-Ipos）/（Ipog-Ipos）小型汽轮机排汽湿度控制在10~12%以内</t>
    <phoneticPr fontId="14" type="noConversion"/>
  </si>
  <si>
    <t>乏汽      压力</t>
    <phoneticPr fontId="14" type="noConversion"/>
  </si>
  <si>
    <t>热耗率</t>
    <phoneticPr fontId="14" type="noConversion"/>
  </si>
  <si>
    <t>热耗</t>
    <phoneticPr fontId="1" type="noConversion"/>
  </si>
  <si>
    <t>抽汽至LH1功率</t>
    <phoneticPr fontId="14" type="noConversion"/>
  </si>
  <si>
    <t>无用户补汽</t>
    <phoneticPr fontId="14" type="noConversion"/>
  </si>
  <si>
    <r>
      <t>3、组内功率计算及校核--</t>
    </r>
    <r>
      <rPr>
        <sz val="11"/>
        <color indexed="14"/>
        <rFont val="宋体"/>
        <family val="3"/>
        <charset val="134"/>
      </rPr>
      <t>（1）注意补汽压力所对应的的补汽点位置；（2）注意无高加时，高加抽气压力需手动修改</t>
    </r>
    <phoneticPr fontId="14" type="noConversion"/>
  </si>
  <si>
    <t>4、主要经济指标</t>
    <phoneticPr fontId="14" type="noConversion"/>
  </si>
  <si>
    <t>引风机入口烟气密度</t>
  </si>
  <si>
    <t>Ty</t>
  </si>
  <si>
    <t>烟风量计算表</t>
  </si>
  <si>
    <t>（5）烟风煤粉管道配套设计计算方法</t>
    <phoneticPr fontId="14" type="noConversion"/>
  </si>
  <si>
    <t>烟囱结构高度</t>
    <phoneticPr fontId="14" type="noConversion"/>
  </si>
  <si>
    <t>烟囱计算段累计高度</t>
    <phoneticPr fontId="14" type="noConversion"/>
  </si>
  <si>
    <t>烟囱出口内径</t>
    <phoneticPr fontId="14" type="noConversion"/>
  </si>
  <si>
    <t>锥形烟囱坡度</t>
    <phoneticPr fontId="14" type="noConversion"/>
  </si>
  <si>
    <t>当地年均
大气压</t>
    <phoneticPr fontId="14" type="noConversion"/>
  </si>
  <si>
    <t>当地最热月平均温度</t>
    <phoneticPr fontId="14" type="noConversion"/>
  </si>
  <si>
    <t>空气密度
（压力、温度修正）</t>
    <phoneticPr fontId="14" type="noConversion"/>
  </si>
  <si>
    <t>烟气密度
（压力、温度修正）</t>
    <phoneticPr fontId="14" type="noConversion"/>
  </si>
  <si>
    <t>烟/空气密度差</t>
    <phoneticPr fontId="14" type="noConversion"/>
  </si>
  <si>
    <t>烟囱累计自生通风</t>
    <phoneticPr fontId="14" type="noConversion"/>
  </si>
  <si>
    <t>烟气量（4炉）</t>
    <phoneticPr fontId="14" type="noConversion"/>
  </si>
  <si>
    <t>出口速度</t>
    <phoneticPr fontId="14" type="noConversion"/>
  </si>
  <si>
    <t>出口动压头</t>
    <phoneticPr fontId="14" type="noConversion"/>
  </si>
  <si>
    <t>烟囱出口与计算截面动压差</t>
    <phoneticPr fontId="14" type="noConversion"/>
  </si>
  <si>
    <t>烟筒内壁摩擦阻力系数</t>
    <phoneticPr fontId="14" type="noConversion"/>
  </si>
  <si>
    <t>折算阻力系数</t>
    <phoneticPr fontId="14" type="noConversion"/>
  </si>
  <si>
    <t>烟囱出口与计算截面摩擦阻力损失</t>
    <phoneticPr fontId="14" type="noConversion"/>
  </si>
  <si>
    <t xml:space="preserve">计算截面的相对静压即烟囱内外的压差 </t>
    <phoneticPr fontId="14" type="noConversion"/>
  </si>
  <si>
    <t>（5）P8</t>
    <phoneticPr fontId="14" type="noConversion"/>
  </si>
  <si>
    <t>（5）P15</t>
    <phoneticPr fontId="14" type="noConversion"/>
  </si>
  <si>
    <t>（5）P10</t>
    <phoneticPr fontId="14" type="noConversion"/>
  </si>
  <si>
    <t>H</t>
    <phoneticPr fontId="14" type="noConversion"/>
  </si>
  <si>
    <r>
      <t>H</t>
    </r>
    <r>
      <rPr>
        <vertAlign val="subscript"/>
        <sz val="9"/>
        <rFont val="宋体"/>
        <family val="3"/>
        <charset val="134"/>
      </rPr>
      <t>JS</t>
    </r>
    <phoneticPr fontId="14" type="noConversion"/>
  </si>
  <si>
    <r>
      <t>d</t>
    </r>
    <r>
      <rPr>
        <vertAlign val="subscript"/>
        <sz val="9"/>
        <rFont val="Times New Roman"/>
        <family val="1"/>
      </rPr>
      <t>0</t>
    </r>
    <phoneticPr fontId="14" type="noConversion"/>
  </si>
  <si>
    <t>i</t>
    <phoneticPr fontId="14" type="noConversion"/>
  </si>
  <si>
    <r>
      <t>T</t>
    </r>
    <r>
      <rPr>
        <vertAlign val="subscript"/>
        <sz val="9"/>
        <color indexed="8"/>
        <rFont val="宋体"/>
        <family val="3"/>
        <charset val="134"/>
      </rPr>
      <t>p</t>
    </r>
    <phoneticPr fontId="14" type="noConversion"/>
  </si>
  <si>
    <r>
      <t>ρ</t>
    </r>
    <r>
      <rPr>
        <vertAlign val="subscript"/>
        <sz val="9"/>
        <rFont val="宋体"/>
        <family val="3"/>
        <charset val="134"/>
      </rPr>
      <t>ao</t>
    </r>
    <phoneticPr fontId="14" type="noConversion"/>
  </si>
  <si>
    <t>ρa</t>
    <phoneticPr fontId="14" type="noConversion"/>
  </si>
  <si>
    <r>
      <t>ρ</t>
    </r>
    <r>
      <rPr>
        <vertAlign val="subscript"/>
        <sz val="9"/>
        <color indexed="8"/>
        <rFont val="宋体"/>
        <family val="3"/>
        <charset val="134"/>
      </rPr>
      <t>yo</t>
    </r>
    <phoneticPr fontId="14" type="noConversion"/>
  </si>
  <si>
    <t>Ty</t>
    <phoneticPr fontId="14" type="noConversion"/>
  </si>
  <si>
    <t>ρy</t>
    <phoneticPr fontId="14" type="noConversion"/>
  </si>
  <si>
    <t>Δρ</t>
    <phoneticPr fontId="14" type="noConversion"/>
  </si>
  <si>
    <r>
      <t>∑</t>
    </r>
    <r>
      <rPr>
        <b/>
        <sz val="9"/>
        <rFont val="Times New Roman"/>
        <family val="1"/>
      </rPr>
      <t>h</t>
    </r>
    <r>
      <rPr>
        <b/>
        <vertAlign val="subscript"/>
        <sz val="9"/>
        <rFont val="Times New Roman"/>
        <family val="1"/>
      </rPr>
      <t>zs</t>
    </r>
    <phoneticPr fontId="14" type="noConversion"/>
  </si>
  <si>
    <t>Vy</t>
    <phoneticPr fontId="14" type="noConversion"/>
  </si>
  <si>
    <r>
      <t>W</t>
    </r>
    <r>
      <rPr>
        <vertAlign val="subscript"/>
        <sz val="9"/>
        <rFont val="宋体"/>
        <family val="3"/>
        <charset val="134"/>
      </rPr>
      <t>O</t>
    </r>
    <phoneticPr fontId="14" type="noConversion"/>
  </si>
  <si>
    <r>
      <t>h</t>
    </r>
    <r>
      <rPr>
        <vertAlign val="subscript"/>
        <sz val="9"/>
        <rFont val="Times New Roman"/>
        <family val="1"/>
      </rPr>
      <t>d</t>
    </r>
    <phoneticPr fontId="14" type="noConversion"/>
  </si>
  <si>
    <r>
      <t>Δ</t>
    </r>
    <r>
      <rPr>
        <sz val="9"/>
        <rFont val="Times New Roman"/>
        <family val="1"/>
      </rPr>
      <t>h</t>
    </r>
    <r>
      <rPr>
        <vertAlign val="subscript"/>
        <sz val="9"/>
        <rFont val="Times New Roman"/>
        <family val="1"/>
      </rPr>
      <t>d</t>
    </r>
    <phoneticPr fontId="14" type="noConversion"/>
  </si>
  <si>
    <r>
      <t>λ</t>
    </r>
    <r>
      <rPr>
        <vertAlign val="subscript"/>
        <sz val="9"/>
        <rFont val="Times New Roman"/>
        <family val="1"/>
      </rPr>
      <t>Z</t>
    </r>
    <phoneticPr fontId="14" type="noConversion"/>
  </si>
  <si>
    <t>ξ</t>
    <phoneticPr fontId="14" type="noConversion"/>
  </si>
  <si>
    <r>
      <t>Δ</t>
    </r>
    <r>
      <rPr>
        <b/>
        <sz val="9"/>
        <rFont val="Times New Roman"/>
        <family val="1"/>
      </rPr>
      <t>h</t>
    </r>
    <r>
      <rPr>
        <b/>
        <vertAlign val="subscript"/>
        <sz val="9"/>
        <rFont val="Times New Roman"/>
        <family val="1"/>
      </rPr>
      <t>M</t>
    </r>
    <phoneticPr fontId="14" type="noConversion"/>
  </si>
  <si>
    <r>
      <t>Δ</t>
    </r>
    <r>
      <rPr>
        <sz val="9"/>
        <rFont val="Times New Roman"/>
        <family val="1"/>
      </rPr>
      <t>P</t>
    </r>
    <r>
      <rPr>
        <vertAlign val="subscript"/>
        <sz val="9"/>
        <rFont val="Times New Roman"/>
        <family val="1"/>
      </rPr>
      <t>Z</t>
    </r>
    <phoneticPr fontId="14" type="noConversion"/>
  </si>
  <si>
    <t>m</t>
    <phoneticPr fontId="14" type="noConversion"/>
  </si>
  <si>
    <t>——</t>
    <phoneticPr fontId="14" type="noConversion"/>
  </si>
  <si>
    <t>kPa</t>
    <phoneticPr fontId="14" type="noConversion"/>
  </si>
  <si>
    <t>℃</t>
    <phoneticPr fontId="14" type="noConversion"/>
  </si>
  <si>
    <r>
      <t>kg/Nm</t>
    </r>
    <r>
      <rPr>
        <vertAlign val="superscript"/>
        <sz val="9"/>
        <rFont val="Times New Roman"/>
        <family val="1"/>
      </rPr>
      <t>3</t>
    </r>
    <phoneticPr fontId="14" type="noConversion"/>
  </si>
  <si>
    <r>
      <t>kg/m</t>
    </r>
    <r>
      <rPr>
        <vertAlign val="superscript"/>
        <sz val="9"/>
        <rFont val="Times New Roman"/>
        <family val="1"/>
      </rPr>
      <t>3</t>
    </r>
    <phoneticPr fontId="14" type="noConversion"/>
  </si>
  <si>
    <t>Pa</t>
    <phoneticPr fontId="14" type="noConversion"/>
  </si>
  <si>
    <r>
      <t>m</t>
    </r>
    <r>
      <rPr>
        <vertAlign val="superscript"/>
        <sz val="9"/>
        <rFont val="宋体"/>
        <family val="3"/>
        <charset val="134"/>
      </rPr>
      <t>3</t>
    </r>
    <r>
      <rPr>
        <sz val="9"/>
        <rFont val="宋体"/>
        <family val="3"/>
        <charset val="134"/>
      </rPr>
      <t>/s</t>
    </r>
    <phoneticPr fontId="14" type="noConversion"/>
  </si>
  <si>
    <t>m/s</t>
    <phoneticPr fontId="14" type="noConversion"/>
  </si>
  <si>
    <t>烟风量计算表</t>
    <phoneticPr fontId="14" type="noConversion"/>
  </si>
  <si>
    <t>气象资料</t>
    <phoneticPr fontId="14" type="noConversion"/>
  </si>
  <si>
    <r>
      <t>ρ</t>
    </r>
    <r>
      <rPr>
        <vertAlign val="subscript"/>
        <sz val="9"/>
        <color indexed="8"/>
        <rFont val="宋体"/>
        <family val="3"/>
        <charset val="134"/>
      </rPr>
      <t>ao</t>
    </r>
    <r>
      <rPr>
        <sz val="9"/>
        <color indexed="8"/>
        <rFont val="宋体"/>
        <family val="3"/>
        <charset val="134"/>
      </rPr>
      <t>*Pb*273/（273+Tp）/101.325</t>
    </r>
    <phoneticPr fontId="14" type="noConversion"/>
  </si>
  <si>
    <r>
      <t>ρ</t>
    </r>
    <r>
      <rPr>
        <vertAlign val="subscript"/>
        <sz val="9"/>
        <color indexed="8"/>
        <rFont val="宋体"/>
        <family val="3"/>
        <charset val="134"/>
      </rPr>
      <t>yo</t>
    </r>
    <r>
      <rPr>
        <sz val="9"/>
        <color indexed="8"/>
        <rFont val="宋体"/>
        <family val="3"/>
        <charset val="134"/>
      </rPr>
      <t>*Pb*273/（273+Ty）/101.325</t>
    </r>
    <phoneticPr fontId="14" type="noConversion"/>
  </si>
  <si>
    <t>ρa-ρy</t>
    <phoneticPr fontId="14" type="noConversion"/>
  </si>
  <si>
    <r>
      <t>g*Δρ*H</t>
    </r>
    <r>
      <rPr>
        <vertAlign val="subscript"/>
        <sz val="9"/>
        <color indexed="8"/>
        <rFont val="宋体"/>
        <family val="3"/>
        <charset val="134"/>
      </rPr>
      <t>JS</t>
    </r>
    <phoneticPr fontId="14" type="noConversion"/>
  </si>
  <si>
    <r>
      <t>Vy/(0.785*do</t>
    </r>
    <r>
      <rPr>
        <vertAlign val="superscript"/>
        <sz val="9"/>
        <color indexed="8"/>
        <rFont val="宋体"/>
        <family val="3"/>
        <charset val="134"/>
      </rPr>
      <t>2</t>
    </r>
    <r>
      <rPr>
        <sz val="9"/>
        <color indexed="8"/>
        <rFont val="宋体"/>
        <family val="3"/>
        <charset val="134"/>
      </rPr>
      <t>)</t>
    </r>
    <phoneticPr fontId="14" type="noConversion"/>
  </si>
  <si>
    <r>
      <t>W</t>
    </r>
    <r>
      <rPr>
        <vertAlign val="subscript"/>
        <sz val="9"/>
        <color indexed="8"/>
        <rFont val="宋体"/>
        <family val="3"/>
        <charset val="134"/>
      </rPr>
      <t>O</t>
    </r>
    <r>
      <rPr>
        <vertAlign val="superscript"/>
        <sz val="9"/>
        <color indexed="8"/>
        <rFont val="宋体"/>
        <family val="3"/>
        <charset val="134"/>
      </rPr>
      <t>2</t>
    </r>
    <r>
      <rPr>
        <sz val="9"/>
        <color indexed="8"/>
        <rFont val="宋体"/>
        <family val="3"/>
        <charset val="134"/>
      </rPr>
      <t>*ρy/2</t>
    </r>
    <phoneticPr fontId="14" type="noConversion"/>
  </si>
  <si>
    <r>
      <t>锥筒：λ</t>
    </r>
    <r>
      <rPr>
        <vertAlign val="subscript"/>
        <sz val="9"/>
        <rFont val="Times New Roman"/>
        <family val="1"/>
      </rPr>
      <t>Z</t>
    </r>
    <r>
      <rPr>
        <b/>
        <vertAlign val="subscript"/>
        <sz val="9"/>
        <rFont val="Times New Roman"/>
        <family val="1"/>
      </rPr>
      <t xml:space="preserve">  </t>
    </r>
    <r>
      <rPr>
        <b/>
        <sz val="9"/>
        <rFont val="Times New Roman"/>
        <family val="1"/>
      </rPr>
      <t>/</t>
    </r>
    <r>
      <rPr>
        <sz val="9"/>
        <rFont val="Times New Roman"/>
        <family val="1"/>
      </rPr>
      <t xml:space="preserve"> (8*i)
</t>
    </r>
    <r>
      <rPr>
        <sz val="9"/>
        <rFont val="宋体"/>
        <family val="3"/>
        <charset val="134"/>
      </rPr>
      <t>直筒：λ</t>
    </r>
    <r>
      <rPr>
        <vertAlign val="subscript"/>
        <sz val="9"/>
        <rFont val="Times New Roman"/>
        <family val="1"/>
      </rPr>
      <t>Z</t>
    </r>
    <r>
      <rPr>
        <sz val="9"/>
        <rFont val="Times New Roman"/>
        <family val="1"/>
      </rPr>
      <t>*H</t>
    </r>
    <r>
      <rPr>
        <vertAlign val="subscript"/>
        <sz val="9"/>
        <rFont val="Times New Roman"/>
        <family val="1"/>
      </rPr>
      <t>JS</t>
    </r>
    <r>
      <rPr>
        <sz val="9"/>
        <rFont val="Times New Roman"/>
        <family val="1"/>
      </rPr>
      <t>/d</t>
    </r>
    <r>
      <rPr>
        <vertAlign val="subscript"/>
        <sz val="9"/>
        <rFont val="Times New Roman"/>
        <family val="1"/>
      </rPr>
      <t>0</t>
    </r>
    <phoneticPr fontId="14" type="noConversion"/>
  </si>
  <si>
    <r>
      <t>ξ*</t>
    </r>
    <r>
      <rPr>
        <sz val="9"/>
        <rFont val="Times New Roman"/>
        <family val="1"/>
      </rPr>
      <t>h</t>
    </r>
    <r>
      <rPr>
        <vertAlign val="subscript"/>
        <sz val="9"/>
        <rFont val="Times New Roman"/>
        <family val="1"/>
      </rPr>
      <t>d</t>
    </r>
    <r>
      <rPr>
        <sz val="9"/>
        <rFont val="Times New Roman"/>
        <family val="1"/>
      </rPr>
      <t/>
    </r>
    <phoneticPr fontId="14" type="noConversion"/>
  </si>
  <si>
    <r>
      <t>Δ</t>
    </r>
    <r>
      <rPr>
        <sz val="9"/>
        <rFont val="Times New Roman"/>
        <family val="1"/>
      </rPr>
      <t>h</t>
    </r>
    <r>
      <rPr>
        <vertAlign val="subscript"/>
        <sz val="9"/>
        <rFont val="Times New Roman"/>
        <family val="1"/>
      </rPr>
      <t>d</t>
    </r>
    <r>
      <rPr>
        <sz val="9"/>
        <rFont val="Times New Roman"/>
        <family val="1"/>
      </rPr>
      <t>+Δh</t>
    </r>
    <r>
      <rPr>
        <vertAlign val="subscript"/>
        <sz val="9"/>
        <rFont val="Times New Roman"/>
        <family val="1"/>
      </rPr>
      <t>M</t>
    </r>
    <r>
      <rPr>
        <sz val="9"/>
        <rFont val="Times New Roman"/>
        <family val="1"/>
      </rPr>
      <t>-</t>
    </r>
    <r>
      <rPr>
        <sz val="9"/>
        <rFont val="宋体"/>
        <family val="3"/>
        <charset val="134"/>
      </rPr>
      <t>∑</t>
    </r>
    <r>
      <rPr>
        <sz val="9"/>
        <rFont val="Times New Roman"/>
        <family val="1"/>
      </rPr>
      <t>hzs</t>
    </r>
    <phoneticPr fontId="14" type="noConversion"/>
  </si>
  <si>
    <t>——</t>
    <phoneticPr fontId="14" type="noConversion"/>
  </si>
  <si>
    <t>最热月平均气温</t>
    <phoneticPr fontId="1" type="noConversion"/>
  </si>
  <si>
    <t>Trp</t>
    <phoneticPr fontId="1" type="noConversion"/>
  </si>
  <si>
    <t>烟囱计算</t>
    <phoneticPr fontId="14" type="noConversion"/>
  </si>
  <si>
    <t>几何高度</t>
    <phoneticPr fontId="1" type="noConversion"/>
  </si>
  <si>
    <t>Hs</t>
    <phoneticPr fontId="1" type="noConversion"/>
  </si>
  <si>
    <t>m</t>
    <phoneticPr fontId="1" type="noConversion"/>
  </si>
  <si>
    <t>烟囱温降</t>
    <phoneticPr fontId="1" type="noConversion"/>
  </si>
  <si>
    <t>Δt</t>
  </si>
  <si>
    <t>0.05℃/m</t>
  </si>
  <si>
    <t>Txf</t>
  </si>
  <si>
    <t>Tc</t>
  </si>
  <si>
    <t>Txf-Δt</t>
  </si>
  <si>
    <t>环境平均温度</t>
    <phoneticPr fontId="1" type="noConversion"/>
  </si>
  <si>
    <t>烟囱出口温度</t>
    <phoneticPr fontId="1" type="noConversion"/>
  </si>
  <si>
    <t>烟囱入口温度</t>
    <phoneticPr fontId="1" type="noConversion"/>
  </si>
  <si>
    <t>（Txf+Tc）/2</t>
  </si>
  <si>
    <t>烟囱内平均温度</t>
    <phoneticPr fontId="1" type="noConversion"/>
  </si>
  <si>
    <t>烟囱计算表</t>
    <phoneticPr fontId="14" type="noConversion"/>
  </si>
  <si>
    <t>50:50时   1.1倍</t>
    <phoneticPr fontId="14" type="noConversion"/>
  </si>
  <si>
    <t>风道阻力</t>
    <phoneticPr fontId="14" type="noConversion"/>
  </si>
  <si>
    <t>锅炉本体阻力</t>
    <phoneticPr fontId="14" type="noConversion"/>
  </si>
  <si>
    <t>是否海拔修正</t>
    <phoneticPr fontId="14" type="noConversion"/>
  </si>
  <si>
    <t>pg</t>
    <phoneticPr fontId="14" type="noConversion"/>
  </si>
  <si>
    <t>py</t>
    <phoneticPr fontId="14" type="noConversion"/>
  </si>
  <si>
    <t>大气压未修正</t>
    <phoneticPr fontId="14" type="noConversion"/>
  </si>
  <si>
    <t>4、二次风机计算</t>
    <phoneticPr fontId="14" type="noConversion"/>
  </si>
  <si>
    <t>5、引风机计算</t>
    <phoneticPr fontId="14" type="noConversion"/>
  </si>
  <si>
    <t>560KW，10KV</t>
    <phoneticPr fontId="14" type="noConversion"/>
  </si>
  <si>
    <t>锅炉本体烟气阻力</t>
    <phoneticPr fontId="14" type="noConversion"/>
  </si>
  <si>
    <t>脱硝</t>
    <phoneticPr fontId="14" type="noConversion"/>
  </si>
  <si>
    <t>pn</t>
    <phoneticPr fontId="14" type="noConversion"/>
  </si>
  <si>
    <t>除尘器</t>
    <phoneticPr fontId="14" type="noConversion"/>
  </si>
  <si>
    <t>pc</t>
    <phoneticPr fontId="14" type="noConversion"/>
  </si>
  <si>
    <t>Pa</t>
    <phoneticPr fontId="14" type="noConversion"/>
  </si>
  <si>
    <t>风机后脱硫塔及烟囱烟道阻力</t>
    <phoneticPr fontId="14" type="noConversion"/>
  </si>
  <si>
    <t>ph</t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</si>
  <si>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a</t>
    </r>
    <phoneticPr fontId="14" type="noConversion"/>
  </si>
  <si>
    <t>pa</t>
  </si>
  <si>
    <t>铭牌介质温度</t>
    <phoneticPr fontId="14" type="noConversion"/>
  </si>
  <si>
    <t>空气温度</t>
    <phoneticPr fontId="14" type="noConversion"/>
  </si>
  <si>
    <t>常规20℃</t>
    <phoneticPr fontId="14" type="noConversion"/>
  </si>
  <si>
    <t>烟气温度</t>
    <phoneticPr fontId="14" type="noConversion"/>
  </si>
  <si>
    <t>常规250℃</t>
    <phoneticPr fontId="14" type="noConversion"/>
  </si>
  <si>
    <t>6、返料风机计算</t>
    <phoneticPr fontId="14" type="noConversion"/>
  </si>
  <si>
    <t>风压</t>
    <phoneticPr fontId="14" type="noConversion"/>
  </si>
  <si>
    <t>锅炉厂资料</t>
    <phoneticPr fontId="14" type="noConversion"/>
  </si>
  <si>
    <t>管道阻力</t>
    <phoneticPr fontId="14" type="noConversion"/>
  </si>
  <si>
    <t>pz</t>
    <phoneticPr fontId="14" type="noConversion"/>
  </si>
  <si>
    <t>22KW，380V</t>
    <phoneticPr fontId="14" type="noConversion"/>
  </si>
  <si>
    <t>900KW，10KV</t>
    <phoneticPr fontId="14" type="noConversion"/>
  </si>
  <si>
    <t>355KW，10KV</t>
    <phoneticPr fontId="14" type="noConversion"/>
  </si>
  <si>
    <r>
      <t>p</t>
    </r>
    <r>
      <rPr>
        <vertAlign val="subscript"/>
        <sz val="12"/>
        <rFont val="宋体"/>
        <family val="3"/>
        <charset val="134"/>
      </rPr>
      <t>1</t>
    </r>
    <r>
      <rPr>
        <sz val="12"/>
        <rFont val="宋体"/>
        <family val="3"/>
        <charset val="134"/>
      </rPr>
      <t>=</t>
    </r>
    <r>
      <rPr>
        <sz val="12"/>
        <rFont val="宋体"/>
        <family val="3"/>
        <charset val="134"/>
      </rPr>
      <t>p*(101325/p</t>
    </r>
    <r>
      <rPr>
        <vertAlign val="subscript"/>
        <sz val="12"/>
        <rFont val="宋体"/>
        <family val="3"/>
        <charset val="134"/>
      </rPr>
      <t>0</t>
    </r>
    <r>
      <rPr>
        <sz val="12"/>
        <rFont val="宋体"/>
        <family val="3"/>
        <charset val="134"/>
      </rPr>
      <t>)</t>
    </r>
    <phoneticPr fontId="14" type="noConversion"/>
  </si>
  <si>
    <t>万t/a</t>
    <phoneticPr fontId="14" type="noConversion"/>
  </si>
  <si>
    <t>单台锅炉额定耗煤量</t>
    <phoneticPr fontId="14" type="noConversion"/>
  </si>
  <si>
    <t>多锅炉额定耗煤量</t>
    <phoneticPr fontId="14" type="noConversion"/>
  </si>
  <si>
    <t>Bzj</t>
    <phoneticPr fontId="14" type="noConversion"/>
  </si>
  <si>
    <t>输煤系统选定出力</t>
    <phoneticPr fontId="14" type="noConversion"/>
  </si>
  <si>
    <t>Qxcl</t>
    <phoneticPr fontId="14" type="noConversion"/>
  </si>
  <si>
    <t>5、输煤系统出力</t>
    <phoneticPr fontId="14" type="noConversion"/>
  </si>
  <si>
    <t>地下煤口处电磁振动给煤机、</t>
    <phoneticPr fontId="14" type="noConversion"/>
  </si>
  <si>
    <t>脱硫工艺选择原则：</t>
    <phoneticPr fontId="1" type="noConversion"/>
  </si>
  <si>
    <t>1、中小容量CFB锅炉宜优先采用炉内脱硫</t>
    <phoneticPr fontId="1" type="noConversion"/>
  </si>
  <si>
    <t>2、含硫量≥2%宜优先采用石灰石石膏湿法脱硫</t>
    <phoneticPr fontId="1" type="noConversion"/>
  </si>
  <si>
    <t>3、含硫量＜2%,环保条件容许的情况下啊，优先采用半干法，干法脱硫</t>
    <phoneticPr fontId="1" type="noConversion"/>
  </si>
  <si>
    <t>2、煤场（干煤棚）面积</t>
    <phoneticPr fontId="14" type="noConversion"/>
  </si>
  <si>
    <t>石灰石粉仓储存时间</t>
    <phoneticPr fontId="1" type="noConversion"/>
  </si>
  <si>
    <t>d</t>
    <phoneticPr fontId="1" type="noConversion"/>
  </si>
  <si>
    <t>3d</t>
    <phoneticPr fontId="1" type="noConversion"/>
  </si>
  <si>
    <t>石灰石粉仓出力</t>
    <phoneticPr fontId="1" type="noConversion"/>
  </si>
  <si>
    <t>kg</t>
    <phoneticPr fontId="1" type="noConversion"/>
  </si>
  <si>
    <t>石灰石粉堆积密度</t>
    <phoneticPr fontId="1" type="noConversion"/>
  </si>
  <si>
    <t>石灰石粉库充满系数</t>
    <phoneticPr fontId="1" type="noConversion"/>
  </si>
  <si>
    <t>石灰石粉仓体积</t>
    <phoneticPr fontId="1" type="noConversion"/>
  </si>
  <si>
    <t>V</t>
    <phoneticPr fontId="1" type="noConversion"/>
  </si>
  <si>
    <t>t/m³</t>
    <phoneticPr fontId="1" type="noConversion"/>
  </si>
  <si>
    <t>m³</t>
    <phoneticPr fontId="1" type="noConversion"/>
  </si>
  <si>
    <t>高</t>
    <phoneticPr fontId="1" type="noConversion"/>
  </si>
  <si>
    <t>直径</t>
    <phoneticPr fontId="1" type="noConversion"/>
  </si>
  <si>
    <t>0.8~1</t>
    <phoneticPr fontId="14" type="noConversion"/>
  </si>
  <si>
    <t>汽包内饱和水焓值</t>
    <phoneticPr fontId="1" type="noConversion"/>
  </si>
  <si>
    <t>Bg</t>
    <phoneticPr fontId="14" type="noConversion"/>
  </si>
  <si>
    <t>t</t>
    <phoneticPr fontId="14" type="noConversion"/>
  </si>
  <si>
    <t>4~8d</t>
    <phoneticPr fontId="14" type="noConversion"/>
  </si>
  <si>
    <t>进汽量</t>
    <phoneticPr fontId="1" type="noConversion"/>
  </si>
  <si>
    <t>t/h</t>
    <phoneticPr fontId="1" type="noConversion"/>
  </si>
  <si>
    <t>选定</t>
    <phoneticPr fontId="1" type="noConversion"/>
  </si>
  <si>
    <t>总耗煤量＜60t/h，采用单路，三班，每路出力≥200%的总耗煤量，两班≥300%</t>
    <phoneticPr fontId="14" type="noConversion"/>
  </si>
  <si>
    <t>总耗煤量≥60t/h，采用双路，三班每路出力≥150%的总耗煤量，两班≥200%</t>
    <phoneticPr fontId="14" type="noConversion"/>
  </si>
  <si>
    <t>日来煤不均衡系数</t>
    <phoneticPr fontId="14" type="noConversion"/>
  </si>
  <si>
    <t xml:space="preserve">结果-设计 </t>
    <phoneticPr fontId="14" type="noConversion"/>
  </si>
  <si>
    <t>结果-校核</t>
    <phoneticPr fontId="14" type="noConversion"/>
  </si>
  <si>
    <t>汽车5~10d，火车10~25d</t>
    <phoneticPr fontId="14" type="noConversion"/>
  </si>
  <si>
    <t>煤场存储量</t>
    <phoneticPr fontId="14" type="noConversion"/>
  </si>
  <si>
    <t>干煤棚</t>
    <phoneticPr fontId="14" type="noConversion"/>
  </si>
  <si>
    <t>0.6~0.9</t>
    <phoneticPr fontId="14" type="noConversion"/>
  </si>
  <si>
    <t>CFB锅炉0.6（济锅）~0.7（华光），煤粉0.9</t>
    <phoneticPr fontId="1" type="noConversion"/>
  </si>
  <si>
    <t>有效容积-计算</t>
    <phoneticPr fontId="14" type="noConversion"/>
  </si>
  <si>
    <t>煤仓个数</t>
    <phoneticPr fontId="14" type="noConversion"/>
  </si>
  <si>
    <t>n</t>
    <phoneticPr fontId="14" type="noConversion"/>
  </si>
  <si>
    <t>2运1备</t>
    <phoneticPr fontId="14" type="noConversion"/>
  </si>
  <si>
    <t>有效容积-选定</t>
    <phoneticPr fontId="14" type="noConversion"/>
  </si>
  <si>
    <t>V</t>
    <phoneticPr fontId="14" type="noConversion"/>
  </si>
  <si>
    <t>m³</t>
    <phoneticPr fontId="14" type="noConversion"/>
  </si>
  <si>
    <t>反推消耗小时</t>
    <phoneticPr fontId="14" type="noConversion"/>
  </si>
  <si>
    <t>22h</t>
    <phoneticPr fontId="14" type="noConversion"/>
  </si>
  <si>
    <t>每天进厂车次</t>
    <phoneticPr fontId="14" type="noConversion"/>
  </si>
  <si>
    <t>每班运行小时</t>
    <phoneticPr fontId="14" type="noConversion"/>
  </si>
  <si>
    <t>皮带、破碎机、筛煤机、电动梨式卸煤器、除铁器、皮带秤、链码校验装置</t>
    <phoneticPr fontId="14" type="noConversion"/>
  </si>
  <si>
    <t>输煤系统运行小时</t>
    <phoneticPr fontId="14" type="noConversion"/>
  </si>
  <si>
    <t>t</t>
    <phoneticPr fontId="14" type="noConversion"/>
  </si>
  <si>
    <t>tn</t>
    <phoneticPr fontId="14" type="noConversion"/>
  </si>
  <si>
    <t>双路 三班</t>
    <phoneticPr fontId="14" type="noConversion"/>
  </si>
  <si>
    <t>带宽</t>
    <phoneticPr fontId="14" type="noConversion"/>
  </si>
  <si>
    <t>B</t>
    <phoneticPr fontId="14" type="noConversion"/>
  </si>
  <si>
    <t>500/650/800</t>
    <phoneticPr fontId="14" type="noConversion"/>
  </si>
  <si>
    <t>断面系数</t>
    <phoneticPr fontId="14" type="noConversion"/>
  </si>
  <si>
    <t>K</t>
    <phoneticPr fontId="14" type="noConversion"/>
  </si>
  <si>
    <t>选取</t>
    <phoneticPr fontId="14" type="noConversion"/>
  </si>
  <si>
    <t>带速</t>
    <phoneticPr fontId="14" type="noConversion"/>
  </si>
  <si>
    <t>V</t>
    <phoneticPr fontId="14" type="noConversion"/>
  </si>
  <si>
    <t>m/s</t>
    <phoneticPr fontId="14" type="noConversion"/>
  </si>
  <si>
    <t>1.25/1.6/2</t>
    <phoneticPr fontId="14" type="noConversion"/>
  </si>
  <si>
    <t>物料松散密度</t>
    <phoneticPr fontId="14" type="noConversion"/>
  </si>
  <si>
    <t>p</t>
    <phoneticPr fontId="14" type="noConversion"/>
  </si>
  <si>
    <t>t/m³</t>
    <phoneticPr fontId="14" type="noConversion"/>
  </si>
  <si>
    <t>0.8~1</t>
    <phoneticPr fontId="14" type="noConversion"/>
  </si>
  <si>
    <t>皮带最大输送能力</t>
    <phoneticPr fontId="14" type="noConversion"/>
  </si>
  <si>
    <t>Q</t>
    <phoneticPr fontId="14" type="noConversion"/>
  </si>
  <si>
    <t>t/h</t>
    <phoneticPr fontId="14" type="noConversion"/>
  </si>
  <si>
    <t>KBBvp</t>
    <phoneticPr fontId="14" type="noConversion"/>
  </si>
  <si>
    <t>三班＜16h；两班＜11h</t>
    <phoneticPr fontId="14" type="noConversion"/>
  </si>
  <si>
    <t>往复式给煤机最大粒度550mm；电磁振动给煤机最大粒度500mm，不适合粘度大的湿状物料</t>
    <phoneticPr fontId="14" type="noConversion"/>
  </si>
  <si>
    <r>
      <t>6、炉前给煤机---</t>
    </r>
    <r>
      <rPr>
        <sz val="8"/>
        <color indexed="12"/>
        <rFont val="宋体"/>
        <family val="3"/>
        <charset val="134"/>
      </rPr>
      <t>全封闭带电子称重皮带式给煤机</t>
    </r>
    <phoneticPr fontId="14" type="noConversion"/>
  </si>
  <si>
    <t>名称</t>
    <phoneticPr fontId="14" type="noConversion"/>
  </si>
  <si>
    <t>符号</t>
    <phoneticPr fontId="14" type="noConversion"/>
  </si>
  <si>
    <t>单位</t>
    <phoneticPr fontId="14" type="noConversion"/>
  </si>
  <si>
    <t>计算公式</t>
    <phoneticPr fontId="14" type="noConversion"/>
  </si>
  <si>
    <t xml:space="preserve">结果-设计 </t>
    <phoneticPr fontId="14" type="noConversion"/>
  </si>
  <si>
    <t>结果-校核</t>
    <phoneticPr fontId="14" type="noConversion"/>
  </si>
  <si>
    <t>〔2〕</t>
    <phoneticPr fontId="14" type="noConversion"/>
  </si>
  <si>
    <t>哈氏可磨性指数</t>
    <phoneticPr fontId="14" type="noConversion"/>
  </si>
  <si>
    <t>HGI</t>
    <phoneticPr fontId="14" type="noConversion"/>
  </si>
  <si>
    <t>输入</t>
    <phoneticPr fontId="14" type="noConversion"/>
  </si>
  <si>
    <t>Vdaf</t>
    <phoneticPr fontId="1" type="noConversion"/>
  </si>
  <si>
    <t>干燥无灰基挥发分</t>
    <phoneticPr fontId="1" type="noConversion"/>
  </si>
  <si>
    <t>校核煤种（烟煤）</t>
    <phoneticPr fontId="1" type="noConversion"/>
  </si>
  <si>
    <t>哈氏可磨系数</t>
    <phoneticPr fontId="1" type="noConversion"/>
  </si>
  <si>
    <t>HGI</t>
    <phoneticPr fontId="1" type="noConversion"/>
  </si>
  <si>
    <t>（11）</t>
    <phoneticPr fontId="1" type="noConversion"/>
  </si>
  <si>
    <t>（12）</t>
    <phoneticPr fontId="1" type="noConversion"/>
  </si>
  <si>
    <t>（13）</t>
    <phoneticPr fontId="1" type="noConversion"/>
  </si>
  <si>
    <t xml:space="preserve"> 无烟煤≤10；贫煤10~20;烟煤20~37；褐煤＞37</t>
    <phoneticPr fontId="1" type="noConversion"/>
  </si>
  <si>
    <t>用户提供</t>
    <phoneticPr fontId="1" type="noConversion"/>
  </si>
  <si>
    <t>用户提供;煤矸石≥50</t>
    <phoneticPr fontId="1" type="noConversion"/>
  </si>
  <si>
    <t>地下受煤斗→给煤机→1#皮带机→破碎间→2#皮带机→电动犁式卸煤器→3#皮带机→原煤仓→炉前给煤机</t>
    <phoneticPr fontId="14" type="noConversion"/>
  </si>
  <si>
    <t>挥发分</t>
    <phoneticPr fontId="14" type="noConversion"/>
  </si>
  <si>
    <t>Vdaf</t>
    <phoneticPr fontId="14" type="noConversion"/>
  </si>
  <si>
    <t>制粉系统选择</t>
    <phoneticPr fontId="14" type="noConversion"/>
  </si>
  <si>
    <t>依据煤种</t>
    <phoneticPr fontId="14" type="noConversion"/>
  </si>
  <si>
    <t>中速磨煤机直吹式系统</t>
    <phoneticPr fontId="14" type="noConversion"/>
  </si>
  <si>
    <t>烟煤</t>
    <phoneticPr fontId="14" type="noConversion"/>
  </si>
  <si>
    <t>贫煤</t>
    <phoneticPr fontId="14" type="noConversion"/>
  </si>
  <si>
    <t>无烟煤</t>
    <phoneticPr fontId="14" type="noConversion"/>
  </si>
  <si>
    <t>4+0.5nVdaf</t>
    <phoneticPr fontId="14" type="noConversion"/>
  </si>
  <si>
    <t>2+0.5nVdaf</t>
    <phoneticPr fontId="14" type="noConversion"/>
  </si>
  <si>
    <t>0.5nVdaf</t>
    <phoneticPr fontId="14" type="noConversion"/>
  </si>
  <si>
    <t>煤粉细度R90</t>
    <phoneticPr fontId="14" type="noConversion"/>
  </si>
  <si>
    <t>吨蒸汽钢耗：7.5~8</t>
    <phoneticPr fontId="1" type="noConversion"/>
  </si>
  <si>
    <t>158、104、215</t>
    <phoneticPr fontId="1" type="noConversion"/>
  </si>
  <si>
    <t>输出结果</t>
    <phoneticPr fontId="1" type="noConversion"/>
  </si>
  <si>
    <t>输入（需求调查表）</t>
    <phoneticPr fontId="1" type="noConversion"/>
  </si>
  <si>
    <t>输入（自定义）</t>
    <phoneticPr fontId="1" type="noConversion"/>
  </si>
  <si>
    <t>输入（自定义、参数范围显示）</t>
    <phoneticPr fontId="1" type="noConversion"/>
  </si>
  <si>
    <t>函数计算</t>
    <phoneticPr fontId="1" type="noConversion"/>
  </si>
  <si>
    <t>输出</t>
    <phoneticPr fontId="14" type="noConversion"/>
  </si>
  <si>
    <t>输出结果（二次风机选型）</t>
    <phoneticPr fontId="1" type="noConversion"/>
  </si>
  <si>
    <t>输出结果（一次风机选型）</t>
    <phoneticPr fontId="1" type="noConversion"/>
  </si>
  <si>
    <t>标准值</t>
    <phoneticPr fontId="14" type="noConversion"/>
  </si>
  <si>
    <t>输入（自定义）</t>
    <phoneticPr fontId="14" type="noConversion"/>
  </si>
  <si>
    <t>输入（需求调查表）</t>
    <phoneticPr fontId="14" type="noConversion"/>
  </si>
  <si>
    <t>锅炉本体计算输出值</t>
    <phoneticPr fontId="14" type="noConversion"/>
  </si>
  <si>
    <t>根据输出结果选型</t>
    <phoneticPr fontId="14" type="noConversion"/>
  </si>
  <si>
    <t>有问题，没加系数</t>
    <phoneticPr fontId="14" type="noConversion"/>
  </si>
  <si>
    <t>输出（系数参考值显示）</t>
    <phoneticPr fontId="14" type="noConversion"/>
  </si>
  <si>
    <t>输出（系数参考值显示）</t>
    <phoneticPr fontId="14" type="noConversion"/>
  </si>
  <si>
    <t>总风量公式1.1×H18，可分为1台或2台（编程时先自定义输入台数，风比，再输出风量）</t>
    <phoneticPr fontId="14" type="noConversion"/>
  </si>
  <si>
    <t>输入（自定义，参考值显示）</t>
    <phoneticPr fontId="14" type="noConversion"/>
  </si>
  <si>
    <t>锅炉热力计算输出值</t>
    <phoneticPr fontId="1" type="noConversion"/>
  </si>
  <si>
    <t>输出</t>
    <phoneticPr fontId="1" type="noConversion"/>
  </si>
  <si>
    <t>输出结果（用于除尘器选型）</t>
    <phoneticPr fontId="1" type="noConversion"/>
  </si>
  <si>
    <t>输入（自定义，参考值显示）</t>
    <phoneticPr fontId="1" type="noConversion"/>
  </si>
  <si>
    <t>输出结果（引风机选型，标态）</t>
    <phoneticPr fontId="1" type="noConversion"/>
  </si>
  <si>
    <t>总风量公式1.1×F18/n，可分为1台或2台（编程时先自定义输入台数，风比，再输出风量）</t>
    <phoneticPr fontId="14" type="noConversion"/>
  </si>
  <si>
    <t>空压机选型</t>
    <phoneticPr fontId="1" type="noConversion"/>
  </si>
  <si>
    <t>输入（自定义,参考值显示)</t>
    <phoneticPr fontId="14" type="noConversion"/>
  </si>
  <si>
    <t>输入（自定义)</t>
    <phoneticPr fontId="14" type="noConversion"/>
  </si>
  <si>
    <t>输出消耗时间</t>
    <phoneticPr fontId="14" type="noConversion"/>
  </si>
  <si>
    <t>输入（自定义，参考表10-9）</t>
    <phoneticPr fontId="14" type="noConversion"/>
  </si>
  <si>
    <t>75t/h以下500-650，75t/h以上800-1200，</t>
    <phoneticPr fontId="14" type="noConversion"/>
  </si>
  <si>
    <t>输入（自定义，参考表10-24）</t>
    <phoneticPr fontId="14" type="noConversion"/>
  </si>
  <si>
    <t>锅炉本体计算输出值</t>
    <phoneticPr fontId="1" type="noConversion"/>
  </si>
  <si>
    <t>输出结果（引风机选型，实态）</t>
    <phoneticPr fontId="1" type="noConversion"/>
  </si>
  <si>
    <t>输入（自定义）</t>
    <phoneticPr fontId="1" type="noConversion"/>
  </si>
  <si>
    <t>输入（自定义）</t>
    <phoneticPr fontId="1" type="noConversion"/>
  </si>
  <si>
    <t>烟风系统(考虑机械未完全燃烧损失）</t>
    <phoneticPr fontId="1" type="noConversion"/>
  </si>
  <si>
    <t>烟风系统原始数据</t>
    <phoneticPr fontId="1" type="noConversion"/>
  </si>
  <si>
    <r>
      <t>锅炉热力计算输出值(</t>
    </r>
    <r>
      <rPr>
        <sz val="11"/>
        <color rgb="FFFF0000"/>
        <rFont val="宋体"/>
        <family val="3"/>
        <charset val="134"/>
        <scheme val="minor"/>
      </rPr>
      <t>除尘器进口流量，标态</t>
    </r>
    <r>
      <rPr>
        <sz val="11"/>
        <color theme="1"/>
        <rFont val="宋体"/>
        <family val="2"/>
        <scheme val="minor"/>
      </rPr>
      <t>）</t>
    </r>
    <phoneticPr fontId="1" type="noConversion"/>
  </si>
  <si>
    <r>
      <t>锅炉热力计算输出值(</t>
    </r>
    <r>
      <rPr>
        <sz val="11"/>
        <color rgb="FFFF0000"/>
        <rFont val="宋体"/>
        <family val="3"/>
        <charset val="134"/>
        <scheme val="minor"/>
      </rPr>
      <t>除尘器进口流量，实态</t>
    </r>
    <r>
      <rPr>
        <sz val="11"/>
        <color theme="1"/>
        <rFont val="宋体"/>
        <family val="2"/>
        <scheme val="minor"/>
      </rPr>
      <t>）</t>
    </r>
    <phoneticPr fontId="1" type="noConversion"/>
  </si>
  <si>
    <r>
      <t>锅炉热力计算输出值</t>
    </r>
    <r>
      <rPr>
        <sz val="11"/>
        <color rgb="FFFF0000"/>
        <rFont val="宋体"/>
        <family val="3"/>
        <charset val="134"/>
        <scheme val="minor"/>
      </rPr>
      <t>（引风机进口流量，实态）</t>
    </r>
    <phoneticPr fontId="1" type="noConversion"/>
  </si>
  <si>
    <t>输入（自定义,根据计算容积)</t>
    <phoneticPr fontId="14" type="noConversion"/>
  </si>
  <si>
    <t>标态引风机进口</t>
    <phoneticPr fontId="1" type="noConversion"/>
  </si>
  <si>
    <t>公式修改</t>
    <phoneticPr fontId="1" type="noConversion"/>
  </si>
  <si>
    <t>输入（自定义)</t>
    <phoneticPr fontId="14" type="noConversion"/>
  </si>
  <si>
    <r>
      <t>C</t>
    </r>
    <r>
      <rPr>
        <vertAlign val="subscript"/>
        <sz val="12"/>
        <color theme="1"/>
        <rFont val="Times New Roman"/>
        <family val="1"/>
      </rPr>
      <t>ar</t>
    </r>
  </si>
  <si>
    <r>
      <t>H</t>
    </r>
    <r>
      <rPr>
        <vertAlign val="subscript"/>
        <sz val="12"/>
        <color theme="1"/>
        <rFont val="Times New Roman"/>
        <family val="1"/>
      </rPr>
      <t>ar</t>
    </r>
  </si>
  <si>
    <r>
      <t>O</t>
    </r>
    <r>
      <rPr>
        <vertAlign val="subscript"/>
        <sz val="12"/>
        <color theme="1"/>
        <rFont val="Times New Roman"/>
        <family val="1"/>
      </rPr>
      <t>ar</t>
    </r>
  </si>
  <si>
    <r>
      <t>N</t>
    </r>
    <r>
      <rPr>
        <vertAlign val="subscript"/>
        <sz val="12"/>
        <color theme="1"/>
        <rFont val="Times New Roman"/>
        <family val="1"/>
      </rPr>
      <t>ar</t>
    </r>
  </si>
  <si>
    <r>
      <t>S</t>
    </r>
    <r>
      <rPr>
        <vertAlign val="subscript"/>
        <sz val="12"/>
        <color theme="1"/>
        <rFont val="Times New Roman"/>
        <family val="1"/>
      </rPr>
      <t>ar</t>
    </r>
  </si>
  <si>
    <r>
      <t>M</t>
    </r>
    <r>
      <rPr>
        <vertAlign val="subscript"/>
        <sz val="12"/>
        <color theme="1"/>
        <rFont val="Times New Roman"/>
        <family val="1"/>
      </rPr>
      <t>ar</t>
    </r>
  </si>
  <si>
    <r>
      <t>V</t>
    </r>
    <r>
      <rPr>
        <vertAlign val="subscript"/>
        <sz val="12"/>
        <color theme="1"/>
        <rFont val="Times New Roman"/>
        <family val="1"/>
      </rPr>
      <t>ar</t>
    </r>
  </si>
  <si>
    <r>
      <t>A</t>
    </r>
    <r>
      <rPr>
        <vertAlign val="subscript"/>
        <sz val="12"/>
        <color theme="1"/>
        <rFont val="Times New Roman"/>
        <family val="1"/>
      </rPr>
      <t>ar</t>
    </r>
  </si>
  <si>
    <r>
      <t>FC</t>
    </r>
    <r>
      <rPr>
        <vertAlign val="subscript"/>
        <sz val="12"/>
        <color theme="1"/>
        <rFont val="Times New Roman"/>
        <family val="1"/>
      </rPr>
      <t>ar</t>
    </r>
  </si>
  <si>
    <r>
      <t>Q</t>
    </r>
    <r>
      <rPr>
        <vertAlign val="subscript"/>
        <sz val="12"/>
        <color theme="1"/>
        <rFont val="Times New Roman"/>
        <family val="1"/>
      </rPr>
      <t>net</t>
    </r>
    <r>
      <rPr>
        <vertAlign val="subscript"/>
        <sz val="12"/>
        <color theme="1"/>
        <rFont val="宋体"/>
        <family val="3"/>
        <charset val="134"/>
      </rPr>
      <t>，</t>
    </r>
    <r>
      <rPr>
        <vertAlign val="subscript"/>
        <sz val="12"/>
        <color theme="1"/>
        <rFont val="Times New Roman"/>
        <family val="1"/>
      </rPr>
      <t>ar</t>
    </r>
    <r>
      <rPr>
        <vertAlign val="subscript"/>
        <sz val="12"/>
        <color theme="1"/>
        <rFont val="宋体"/>
        <family val="3"/>
        <charset val="134"/>
      </rPr>
      <t>，</t>
    </r>
    <r>
      <rPr>
        <vertAlign val="subscript"/>
        <sz val="12"/>
        <color theme="1"/>
        <rFont val="Times New Roman"/>
        <family val="1"/>
      </rPr>
      <t>q</t>
    </r>
  </si>
  <si>
    <t>MJ/kg</t>
  </si>
  <si>
    <t>A</t>
  </si>
  <si>
    <t>m</t>
  </si>
  <si>
    <t>mmHg</t>
  </si>
  <si>
    <t>P</t>
  </si>
  <si>
    <t>MPa</t>
  </si>
  <si>
    <t>T</t>
  </si>
  <si>
    <r>
      <t>Q</t>
    </r>
    <r>
      <rPr>
        <vertAlign val="subscript"/>
        <sz val="12"/>
        <color theme="1"/>
        <rFont val="Times New Roman"/>
        <family val="1"/>
      </rPr>
      <t>jq</t>
    </r>
  </si>
  <si>
    <t>t/h</t>
  </si>
  <si>
    <r>
      <t>Q</t>
    </r>
    <r>
      <rPr>
        <vertAlign val="subscript"/>
        <sz val="12"/>
        <color theme="1"/>
        <rFont val="Times New Roman"/>
        <family val="1"/>
      </rPr>
      <t>yq</t>
    </r>
  </si>
  <si>
    <r>
      <t>C</t>
    </r>
    <r>
      <rPr>
        <vertAlign val="subscript"/>
        <sz val="12"/>
        <color theme="1"/>
        <rFont val="Times New Roman"/>
        <family val="1"/>
      </rPr>
      <t>Fe</t>
    </r>
  </si>
  <si>
    <r>
      <t>mg/m</t>
    </r>
    <r>
      <rPr>
        <vertAlign val="superscript"/>
        <sz val="12"/>
        <color theme="1"/>
        <rFont val="Times New Roman"/>
        <family val="1"/>
      </rPr>
      <t>3</t>
    </r>
  </si>
  <si>
    <t>Φ</t>
  </si>
  <si>
    <t>d/a</t>
  </si>
  <si>
    <t>MW</t>
  </si>
  <si>
    <t>KW</t>
  </si>
  <si>
    <t>kV</t>
  </si>
  <si>
    <t>km</t>
  </si>
  <si>
    <r>
      <t>mg/Nm</t>
    </r>
    <r>
      <rPr>
        <vertAlign val="superscript"/>
        <sz val="12"/>
        <color theme="1"/>
        <rFont val="Times New Roman"/>
        <family val="1"/>
      </rPr>
      <t>3</t>
    </r>
  </si>
  <si>
    <r>
      <rPr>
        <sz val="12"/>
        <color theme="1"/>
        <rFont val="宋体"/>
        <family val="3"/>
        <charset val="134"/>
      </rPr>
      <t>数值</t>
    </r>
  </si>
  <si>
    <r>
      <rPr>
        <sz val="12"/>
        <color theme="1"/>
        <rFont val="宋体"/>
        <family val="3"/>
        <charset val="134"/>
      </rPr>
      <t>亩</t>
    </r>
  </si>
  <si>
    <r>
      <rPr>
        <sz val="12"/>
        <color theme="1"/>
        <rFont val="宋体"/>
        <family val="3"/>
        <charset val="134"/>
      </rPr>
      <t>序号</t>
    </r>
  </si>
  <si>
    <r>
      <rPr>
        <sz val="12"/>
        <color theme="1"/>
        <rFont val="宋体"/>
        <family val="3"/>
        <charset val="134"/>
      </rPr>
      <t>项目</t>
    </r>
  </si>
  <si>
    <r>
      <rPr>
        <sz val="12"/>
        <color theme="1"/>
        <rFont val="宋体"/>
        <family val="3"/>
        <charset val="134"/>
      </rPr>
      <t>符号</t>
    </r>
  </si>
  <si>
    <r>
      <rPr>
        <sz val="12"/>
        <color theme="1"/>
        <rFont val="宋体"/>
        <family val="3"/>
        <charset val="134"/>
      </rPr>
      <t>单位</t>
    </r>
  </si>
  <si>
    <r>
      <rPr>
        <sz val="12"/>
        <color theme="1"/>
        <rFont val="宋体"/>
        <family val="3"/>
        <charset val="134"/>
      </rPr>
      <t>备注</t>
    </r>
  </si>
  <si>
    <r>
      <rPr>
        <sz val="12"/>
        <color theme="1"/>
        <rFont val="宋体"/>
        <family val="3"/>
        <charset val="134"/>
      </rPr>
      <t>设计燃料</t>
    </r>
  </si>
  <si>
    <r>
      <rPr>
        <sz val="12"/>
        <color theme="1"/>
        <rFont val="宋体"/>
        <family val="3"/>
        <charset val="134"/>
      </rPr>
      <t>校核燃料</t>
    </r>
  </si>
  <si>
    <r>
      <rPr>
        <sz val="12"/>
        <color theme="1"/>
        <rFont val="宋体"/>
        <family val="3"/>
        <charset val="134"/>
      </rPr>
      <t>收到基碳含量</t>
    </r>
  </si>
  <si>
    <r>
      <rPr>
        <sz val="12"/>
        <color theme="1"/>
        <rFont val="宋体"/>
        <family val="3"/>
        <charset val="134"/>
      </rPr>
      <t>收到基氢含量</t>
    </r>
  </si>
  <si>
    <r>
      <rPr>
        <sz val="12"/>
        <color theme="1"/>
        <rFont val="宋体"/>
        <family val="3"/>
        <charset val="134"/>
      </rPr>
      <t>收到基氧含量</t>
    </r>
  </si>
  <si>
    <r>
      <rPr>
        <sz val="12"/>
        <color theme="1"/>
        <rFont val="宋体"/>
        <family val="3"/>
        <charset val="134"/>
      </rPr>
      <t>收到基氮含量</t>
    </r>
  </si>
  <si>
    <r>
      <rPr>
        <sz val="12"/>
        <color theme="1"/>
        <rFont val="宋体"/>
        <family val="3"/>
        <charset val="134"/>
      </rPr>
      <t>收到基硫含量</t>
    </r>
  </si>
  <si>
    <r>
      <rPr>
        <sz val="12"/>
        <color theme="1"/>
        <rFont val="宋体"/>
        <family val="3"/>
        <charset val="134"/>
      </rPr>
      <t>收到基全水份</t>
    </r>
  </si>
  <si>
    <r>
      <rPr>
        <sz val="12"/>
        <color theme="1"/>
        <rFont val="宋体"/>
        <family val="3"/>
        <charset val="134"/>
      </rPr>
      <t>收到基灰份</t>
    </r>
  </si>
  <si>
    <r>
      <rPr>
        <sz val="12"/>
        <color theme="1"/>
        <rFont val="宋体"/>
        <family val="3"/>
        <charset val="134"/>
      </rPr>
      <t>干燥无灰基挥发分</t>
    </r>
  </si>
  <si>
    <r>
      <rPr>
        <sz val="12"/>
        <color theme="1"/>
        <rFont val="宋体"/>
        <family val="3"/>
        <charset val="134"/>
      </rPr>
      <t>哈式可磨性系数</t>
    </r>
  </si>
  <si>
    <r>
      <rPr>
        <sz val="12"/>
        <color theme="1"/>
        <rFont val="宋体"/>
        <family val="3"/>
        <charset val="134"/>
      </rPr>
      <t>收到基低位发热量</t>
    </r>
  </si>
  <si>
    <r>
      <rPr>
        <sz val="12"/>
        <color theme="1"/>
        <rFont val="宋体"/>
        <family val="3"/>
        <charset val="134"/>
      </rPr>
      <t>当地气象及地址条件</t>
    </r>
  </si>
  <si>
    <r>
      <rPr>
        <sz val="12"/>
        <color theme="1"/>
        <rFont val="宋体"/>
        <family val="3"/>
        <charset val="134"/>
      </rPr>
      <t>当地平均海拔</t>
    </r>
  </si>
  <si>
    <r>
      <rPr>
        <sz val="12"/>
        <color theme="1"/>
        <rFont val="宋体"/>
        <family val="3"/>
        <charset val="134"/>
      </rPr>
      <t>年平均温度</t>
    </r>
  </si>
  <si>
    <r>
      <rPr>
        <sz val="12"/>
        <color theme="1"/>
        <rFont val="宋体"/>
        <family val="3"/>
        <charset val="134"/>
      </rPr>
      <t>℃</t>
    </r>
  </si>
  <si>
    <r>
      <rPr>
        <sz val="12"/>
        <color theme="1"/>
        <rFont val="宋体"/>
        <family val="3"/>
        <charset val="134"/>
      </rPr>
      <t>夏季平均温度</t>
    </r>
  </si>
  <si>
    <r>
      <rPr>
        <sz val="12"/>
        <color theme="1"/>
        <rFont val="宋体"/>
        <family val="3"/>
        <charset val="134"/>
      </rPr>
      <t>冬季平均温度</t>
    </r>
  </si>
  <si>
    <r>
      <rPr>
        <sz val="12"/>
        <color theme="1"/>
        <rFont val="宋体"/>
        <family val="3"/>
        <charset val="134"/>
      </rPr>
      <t>年平均大气压力</t>
    </r>
  </si>
  <si>
    <r>
      <rPr>
        <sz val="12"/>
        <color theme="1"/>
        <rFont val="宋体"/>
        <family val="3"/>
        <charset val="134"/>
      </rPr>
      <t>夏季大气压力</t>
    </r>
  </si>
  <si>
    <r>
      <rPr>
        <sz val="12"/>
        <color theme="1"/>
        <rFont val="宋体"/>
        <family val="3"/>
        <charset val="134"/>
      </rPr>
      <t>冬季大气压力</t>
    </r>
  </si>
  <si>
    <r>
      <rPr>
        <sz val="12"/>
        <color theme="1"/>
        <rFont val="宋体"/>
        <family val="3"/>
        <charset val="134"/>
      </rPr>
      <t>年平均相对湿度</t>
    </r>
  </si>
  <si>
    <r>
      <rPr>
        <sz val="12"/>
        <color theme="1"/>
        <rFont val="宋体"/>
        <family val="3"/>
        <charset val="134"/>
      </rPr>
      <t>蒸汽压力等级</t>
    </r>
  </si>
  <si>
    <r>
      <rPr>
        <sz val="12"/>
        <color theme="1"/>
        <rFont val="宋体"/>
        <family val="3"/>
        <charset val="134"/>
      </rPr>
      <t>蒸汽温度等级</t>
    </r>
  </si>
  <si>
    <r>
      <rPr>
        <sz val="12"/>
        <color theme="1"/>
        <rFont val="宋体"/>
        <family val="3"/>
        <charset val="134"/>
      </rPr>
      <t>用汽时段</t>
    </r>
  </si>
  <si>
    <r>
      <rPr>
        <sz val="12"/>
        <color theme="1"/>
        <rFont val="宋体"/>
        <family val="3"/>
        <charset val="134"/>
      </rPr>
      <t>近期蒸汽流量范围</t>
    </r>
  </si>
  <si>
    <r>
      <rPr>
        <sz val="12"/>
        <color theme="1"/>
        <rFont val="宋体"/>
        <family val="3"/>
        <charset val="134"/>
      </rPr>
      <t>远期蒸汽流量范围</t>
    </r>
  </si>
  <si>
    <r>
      <rPr>
        <sz val="12"/>
        <color theme="1"/>
        <rFont val="宋体"/>
        <family val="3"/>
        <charset val="134"/>
      </rPr>
      <t>考虑回水是否受主工艺污染</t>
    </r>
  </si>
  <si>
    <r>
      <rPr>
        <sz val="12"/>
        <color theme="1"/>
        <rFont val="宋体"/>
        <family val="3"/>
        <charset val="134"/>
      </rPr>
      <t>凝结水含铁量</t>
    </r>
  </si>
  <si>
    <r>
      <rPr>
        <sz val="12"/>
        <color theme="1"/>
        <rFont val="宋体"/>
        <family val="3"/>
        <charset val="134"/>
      </rPr>
      <t>凝结水回收率</t>
    </r>
  </si>
  <si>
    <r>
      <rPr>
        <sz val="12"/>
        <color theme="1"/>
        <rFont val="宋体"/>
        <family val="3"/>
        <charset val="134"/>
      </rPr>
      <t>采暖场合类型</t>
    </r>
  </si>
  <si>
    <r>
      <rPr>
        <sz val="12"/>
        <color theme="1"/>
        <rFont val="宋体"/>
        <family val="3"/>
        <charset val="134"/>
      </rPr>
      <t>全年采暖天数</t>
    </r>
  </si>
  <si>
    <r>
      <rPr>
        <sz val="12"/>
        <color theme="1"/>
        <rFont val="宋体"/>
        <family val="3"/>
        <charset val="134"/>
      </rPr>
      <t>近期采暖面积</t>
    </r>
  </si>
  <si>
    <r>
      <rPr>
        <sz val="12"/>
        <color theme="1"/>
        <rFont val="宋体"/>
        <family val="3"/>
        <charset val="134"/>
      </rPr>
      <t>远期采暖面积</t>
    </r>
  </si>
  <si>
    <r>
      <rPr>
        <sz val="12"/>
        <color theme="1"/>
        <rFont val="宋体"/>
        <family val="3"/>
        <charset val="134"/>
      </rPr>
      <t>规划占地面积</t>
    </r>
  </si>
  <si>
    <r>
      <rPr>
        <sz val="12"/>
        <color theme="1"/>
        <rFont val="宋体"/>
        <family val="3"/>
        <charset val="134"/>
      </rPr>
      <t>规划扩建容量</t>
    </r>
  </si>
  <si>
    <r>
      <rPr>
        <sz val="12"/>
        <color theme="1"/>
        <rFont val="宋体"/>
        <family val="3"/>
        <charset val="134"/>
      </rPr>
      <t>是否扩建</t>
    </r>
  </si>
  <si>
    <r>
      <rPr>
        <sz val="12"/>
        <color theme="1"/>
        <rFont val="宋体"/>
        <family val="3"/>
        <charset val="134"/>
      </rPr>
      <t>当地水源条件</t>
    </r>
  </si>
  <si>
    <r>
      <rPr>
        <sz val="12"/>
        <color theme="1"/>
        <rFont val="宋体"/>
        <family val="3"/>
        <charset val="134"/>
      </rPr>
      <t>电负荷需求</t>
    </r>
  </si>
  <si>
    <r>
      <rPr>
        <sz val="12"/>
        <color theme="1"/>
        <rFont val="宋体"/>
        <family val="3"/>
        <charset val="134"/>
      </rPr>
      <t>上级变电压等级</t>
    </r>
  </si>
  <si>
    <r>
      <rPr>
        <sz val="12"/>
        <color theme="1"/>
        <rFont val="宋体"/>
        <family val="3"/>
        <charset val="134"/>
      </rPr>
      <t>厂区距上级变距离</t>
    </r>
  </si>
  <si>
    <r>
      <rPr>
        <sz val="12"/>
        <color theme="1"/>
        <rFont val="宋体"/>
        <family val="3"/>
        <charset val="134"/>
      </rPr>
      <t>是否上网</t>
    </r>
  </si>
  <si>
    <r>
      <rPr>
        <sz val="12"/>
        <color theme="1"/>
        <rFont val="宋体"/>
        <family val="3"/>
        <charset val="134"/>
      </rPr>
      <t>是否孤网运行</t>
    </r>
  </si>
  <si>
    <r>
      <rPr>
        <sz val="12"/>
        <color theme="1"/>
        <rFont val="宋体"/>
        <family val="3"/>
        <charset val="134"/>
      </rPr>
      <t>烟气烟尘排放限值</t>
    </r>
  </si>
  <si>
    <r>
      <rPr>
        <sz val="12"/>
        <color theme="1"/>
        <rFont val="宋体"/>
        <family val="3"/>
        <charset val="134"/>
      </rPr>
      <t>拟采用脱硫形式</t>
    </r>
  </si>
  <si>
    <r>
      <rPr>
        <sz val="12"/>
        <color theme="1"/>
        <rFont val="宋体"/>
        <family val="3"/>
        <charset val="134"/>
      </rPr>
      <t>拟采用脱硝形式</t>
    </r>
  </si>
  <si>
    <r>
      <rPr>
        <sz val="12"/>
        <color theme="1"/>
        <rFont val="宋体"/>
        <family val="3"/>
        <charset val="134"/>
      </rPr>
      <t>石灰石供应情况</t>
    </r>
  </si>
  <si>
    <r>
      <rPr>
        <sz val="12"/>
        <color theme="1"/>
        <rFont val="宋体"/>
        <family val="3"/>
        <charset val="134"/>
      </rPr>
      <t>万</t>
    </r>
    <r>
      <rPr>
        <sz val="12"/>
        <color theme="1"/>
        <rFont val="Times New Roman"/>
        <family val="1"/>
      </rPr>
      <t>m</t>
    </r>
    <r>
      <rPr>
        <vertAlign val="superscript"/>
        <sz val="12"/>
        <color theme="1"/>
        <rFont val="Times New Roman"/>
        <family val="1"/>
      </rPr>
      <t>3</t>
    </r>
  </si>
  <si>
    <r>
      <rPr>
        <sz val="12"/>
        <color theme="1"/>
        <rFont val="宋体"/>
        <family val="3"/>
        <charset val="134"/>
      </rPr>
      <t>烟气</t>
    </r>
    <r>
      <rPr>
        <sz val="12"/>
        <color theme="1"/>
        <rFont val="Times New Roman"/>
        <family val="1"/>
      </rPr>
      <t>SO</t>
    </r>
    <r>
      <rPr>
        <vertAlign val="subscript"/>
        <sz val="12"/>
        <color theme="1"/>
        <rFont val="Times New Roman"/>
        <family val="1"/>
      </rPr>
      <t>X</t>
    </r>
    <r>
      <rPr>
        <sz val="12"/>
        <color theme="1"/>
        <rFont val="宋体"/>
        <family val="3"/>
        <charset val="134"/>
      </rPr>
      <t>排放限值</t>
    </r>
  </si>
  <si>
    <r>
      <rPr>
        <sz val="12"/>
        <color theme="1"/>
        <rFont val="宋体"/>
        <family val="3"/>
        <charset val="134"/>
      </rPr>
      <t>烟气</t>
    </r>
    <r>
      <rPr>
        <sz val="12"/>
        <color theme="1"/>
        <rFont val="Times New Roman"/>
        <family val="1"/>
      </rPr>
      <t>NO</t>
    </r>
    <r>
      <rPr>
        <vertAlign val="subscript"/>
        <sz val="12"/>
        <color theme="1"/>
        <rFont val="Times New Roman"/>
        <family val="1"/>
      </rPr>
      <t>X</t>
    </r>
    <r>
      <rPr>
        <sz val="12"/>
        <color theme="1"/>
        <rFont val="宋体"/>
        <family val="3"/>
        <charset val="134"/>
      </rPr>
      <t>排放限值</t>
    </r>
  </si>
  <si>
    <r>
      <rPr>
        <sz val="12"/>
        <color theme="1"/>
        <rFont val="宋体"/>
        <family val="3"/>
        <charset val="134"/>
      </rPr>
      <t>尿素</t>
    </r>
    <r>
      <rPr>
        <sz val="12"/>
        <color theme="1"/>
        <rFont val="Times New Roman"/>
        <family val="1"/>
      </rPr>
      <t>/</t>
    </r>
    <r>
      <rPr>
        <sz val="12"/>
        <color theme="1"/>
        <rFont val="宋体"/>
        <family val="3"/>
        <charset val="134"/>
      </rPr>
      <t>氨水供应情况</t>
    </r>
  </si>
  <si>
    <r>
      <rPr>
        <b/>
        <sz val="16"/>
        <color theme="1"/>
        <rFont val="宋体"/>
        <family val="3"/>
        <charset val="134"/>
      </rPr>
      <t>燃煤发电需求调查表</t>
    </r>
    <phoneticPr fontId="1" type="noConversion"/>
  </si>
  <si>
    <r>
      <rPr>
        <b/>
        <sz val="14"/>
        <color theme="1"/>
        <rFont val="宋体"/>
        <family val="3"/>
        <charset val="134"/>
      </rPr>
      <t>单位名称：</t>
    </r>
    <r>
      <rPr>
        <b/>
        <sz val="14"/>
        <color theme="1"/>
        <rFont val="Times New Roman"/>
        <family val="1"/>
      </rPr>
      <t xml:space="preserve">                                                                                   </t>
    </r>
    <r>
      <rPr>
        <b/>
        <sz val="14"/>
        <color theme="1"/>
        <rFont val="宋体"/>
        <family val="3"/>
        <charset val="134"/>
      </rPr>
      <t>设计单位（若有）：</t>
    </r>
    <phoneticPr fontId="1" type="noConversion"/>
  </si>
  <si>
    <r>
      <rPr>
        <b/>
        <sz val="12"/>
        <color theme="1"/>
        <rFont val="宋体"/>
        <family val="3"/>
        <charset val="134"/>
      </rPr>
      <t>燃料情况</t>
    </r>
  </si>
  <si>
    <r>
      <rPr>
        <b/>
        <sz val="12"/>
        <color theme="1"/>
        <rFont val="宋体"/>
        <family val="3"/>
        <charset val="134"/>
      </rPr>
      <t>煤质分析</t>
    </r>
  </si>
  <si>
    <r>
      <t>1</t>
    </r>
    <r>
      <rPr>
        <sz val="12"/>
        <color theme="1"/>
        <rFont val="宋体"/>
        <family val="3"/>
        <charset val="134"/>
      </rPr>
      <t>）</t>
    </r>
    <phoneticPr fontId="1" type="noConversion"/>
  </si>
  <si>
    <r>
      <t>2</t>
    </r>
    <r>
      <rPr>
        <sz val="12"/>
        <color theme="1"/>
        <rFont val="宋体"/>
        <family val="3"/>
        <charset val="134"/>
      </rPr>
      <t>）</t>
    </r>
    <phoneticPr fontId="1" type="noConversion"/>
  </si>
  <si>
    <r>
      <t>3</t>
    </r>
    <r>
      <rPr>
        <sz val="12"/>
        <color theme="1"/>
        <rFont val="宋体"/>
        <family val="3"/>
        <charset val="134"/>
      </rPr>
      <t>）</t>
    </r>
    <phoneticPr fontId="1" type="noConversion"/>
  </si>
  <si>
    <t>厂家提供</t>
    <phoneticPr fontId="14" type="noConversion"/>
  </si>
  <si>
    <t>Y型过滤器损失</t>
    <phoneticPr fontId="14" type="noConversion"/>
  </si>
  <si>
    <r>
      <t>暂定采用5mH</t>
    </r>
    <r>
      <rPr>
        <vertAlign val="subscript"/>
        <sz val="12"/>
        <rFont val="仿宋_GB2312"/>
        <family val="3"/>
        <charset val="134"/>
      </rPr>
      <t>2</t>
    </r>
    <r>
      <rPr>
        <sz val="12"/>
        <rFont val="仿宋_GB2312"/>
        <family val="3"/>
        <charset val="134"/>
      </rPr>
      <t>O</t>
    </r>
    <phoneticPr fontId="14" type="noConversion"/>
  </si>
  <si>
    <t>管道损失</t>
    <phoneticPr fontId="14" type="noConversion"/>
  </si>
  <si>
    <t>吸水池与水泵入口高度差</t>
    <phoneticPr fontId="14" type="noConversion"/>
  </si>
  <si>
    <t>M</t>
    <phoneticPr fontId="14" type="noConversion"/>
  </si>
  <si>
    <t>输入</t>
    <phoneticPr fontId="14" type="noConversion"/>
  </si>
  <si>
    <t>循环水泵出口与凝汽器循环水进水口高度差</t>
    <phoneticPr fontId="14" type="noConversion"/>
  </si>
  <si>
    <t>循环水吸水池压力</t>
    <phoneticPr fontId="14" type="noConversion"/>
  </si>
  <si>
    <t>循环水回水压力</t>
    <phoneticPr fontId="14" type="noConversion"/>
  </si>
  <si>
    <t>凝汽器阻力</t>
    <phoneticPr fontId="14" type="noConversion"/>
  </si>
  <si>
    <t>〔1〕</t>
    <phoneticPr fontId="14" type="noConversion"/>
  </si>
  <si>
    <t>m3</t>
  </si>
  <si>
    <t>1、循环水量计算</t>
    <phoneticPr fontId="14" type="noConversion"/>
  </si>
  <si>
    <t>《工业循环冷却水处理设计规范》GB50050-2007</t>
    <phoneticPr fontId="14" type="noConversion"/>
  </si>
  <si>
    <t>冬季</t>
    <phoneticPr fontId="14" type="noConversion"/>
  </si>
  <si>
    <t>夏季</t>
    <phoneticPr fontId="14" type="noConversion"/>
  </si>
  <si>
    <t>乏汽流量</t>
    <phoneticPr fontId="14" type="noConversion"/>
  </si>
  <si>
    <t>选定</t>
    <phoneticPr fontId="14" type="noConversion"/>
  </si>
  <si>
    <t>t/h</t>
    <phoneticPr fontId="14" type="noConversion"/>
  </si>
  <si>
    <t>循环倍率</t>
    <phoneticPr fontId="14" type="noConversion"/>
  </si>
  <si>
    <t>北方60~70；中部65~75；南方70~80</t>
    <phoneticPr fontId="14" type="noConversion"/>
  </si>
  <si>
    <t>循环水量</t>
    <phoneticPr fontId="14" type="noConversion"/>
  </si>
  <si>
    <t>m3/h</t>
    <phoneticPr fontId="14" type="noConversion"/>
  </si>
  <si>
    <t>辅机冷却水量</t>
    <phoneticPr fontId="14" type="noConversion"/>
  </si>
  <si>
    <t>双曲线冷却塔时，去喷淋密度7，即可得到喷淋面积；</t>
    <phoneticPr fontId="14" type="noConversion"/>
  </si>
  <si>
    <t>总循环水量</t>
    <phoneticPr fontId="14" type="noConversion"/>
  </si>
  <si>
    <t>具体冷却样式参考热电联产手册</t>
    <phoneticPr fontId="14" type="noConversion"/>
  </si>
  <si>
    <t>进、出水口温差</t>
    <phoneticPr fontId="14" type="noConversion"/>
  </si>
  <si>
    <t>℃</t>
    <phoneticPr fontId="14" type="noConversion"/>
  </si>
  <si>
    <t>干球温度</t>
    <phoneticPr fontId="14" type="noConversion"/>
  </si>
  <si>
    <t>K</t>
    <phoneticPr fontId="14" type="noConversion"/>
  </si>
  <si>
    <t>插值法</t>
    <phoneticPr fontId="14" type="noConversion"/>
  </si>
  <si>
    <t>蒸发损失率</t>
    <phoneticPr fontId="14" type="noConversion"/>
  </si>
  <si>
    <t>Pe=K*温差</t>
    <phoneticPr fontId="14" type="noConversion"/>
  </si>
  <si>
    <t>%</t>
    <phoneticPr fontId="14" type="noConversion"/>
  </si>
  <si>
    <t>蒸发损失</t>
    <phoneticPr fontId="14" type="noConversion"/>
  </si>
  <si>
    <t>Qe=Pe*Q/100</t>
    <phoneticPr fontId="14" type="noConversion"/>
  </si>
  <si>
    <t>风吹损失率</t>
    <phoneticPr fontId="14" type="noConversion"/>
  </si>
  <si>
    <t>Pw：有除水器时为0.2%-0.3%；无除水器时≥0.5%</t>
    <phoneticPr fontId="14" type="noConversion"/>
  </si>
  <si>
    <t>分吹损失</t>
    <phoneticPr fontId="14" type="noConversion"/>
  </si>
  <si>
    <t>m3/h</t>
    <phoneticPr fontId="14" type="noConversion"/>
  </si>
  <si>
    <t>浓缩倍率</t>
    <phoneticPr fontId="14" type="noConversion"/>
  </si>
  <si>
    <t>C：一般取3</t>
    <phoneticPr fontId="14" type="noConversion"/>
  </si>
  <si>
    <t>排污损失率</t>
    <phoneticPr fontId="14" type="noConversion"/>
  </si>
  <si>
    <t>Pb=（Pe-Pw（c-1））/（c-1）</t>
    <phoneticPr fontId="14" type="noConversion"/>
  </si>
  <si>
    <t>排污量</t>
    <phoneticPr fontId="14" type="noConversion"/>
  </si>
  <si>
    <t>补充水量</t>
    <phoneticPr fontId="14" type="noConversion"/>
  </si>
  <si>
    <t xml:space="preserve">   </t>
    <phoneticPr fontId="14" type="noConversion"/>
  </si>
  <si>
    <t>循环水池尺寸</t>
    <phoneticPr fontId="14" type="noConversion"/>
  </si>
  <si>
    <t>15-25分钟循环水量</t>
    <phoneticPr fontId="14" type="noConversion"/>
  </si>
  <si>
    <t>深</t>
    <phoneticPr fontId="14" type="noConversion"/>
  </si>
  <si>
    <t>m</t>
    <phoneticPr fontId="14" type="noConversion"/>
  </si>
  <si>
    <t>长</t>
    <phoneticPr fontId="14" type="noConversion"/>
  </si>
  <si>
    <t>宽</t>
    <phoneticPr fontId="14" type="noConversion"/>
  </si>
  <si>
    <t>校核循环水池尺寸</t>
    <phoneticPr fontId="14" type="noConversion"/>
  </si>
  <si>
    <t>2、循环水泵计算</t>
    <phoneticPr fontId="14" type="noConversion"/>
  </si>
  <si>
    <t>〔1〕</t>
    <phoneticPr fontId="14" type="noConversion"/>
  </si>
  <si>
    <t>凝汽器循环水进水工作压力</t>
    <phoneticPr fontId="14" type="noConversion"/>
  </si>
  <si>
    <t>输入</t>
    <phoneticPr fontId="14" type="noConversion"/>
  </si>
  <si>
    <t>Mpa</t>
    <phoneticPr fontId="14" type="noConversion"/>
  </si>
  <si>
    <t>总扬程</t>
    <phoneticPr fontId="14" type="noConversion"/>
  </si>
  <si>
    <t>102*（P1-P2）+(H1-H2)+1.2*(H3+H4)</t>
    <phoneticPr fontId="14" type="noConversion"/>
  </si>
  <si>
    <t>流量</t>
    <phoneticPr fontId="14" type="noConversion"/>
  </si>
  <si>
    <t>泵效率</t>
    <phoneticPr fontId="14" type="noConversion"/>
  </si>
  <si>
    <t>0.6~0.85</t>
    <phoneticPr fontId="14" type="noConversion"/>
  </si>
  <si>
    <t>机械传动效率</t>
    <phoneticPr fontId="14" type="noConversion"/>
  </si>
  <si>
    <t>直连1.0，联轴器0.98，皮带0.95</t>
    <phoneticPr fontId="14" type="noConversion"/>
  </si>
  <si>
    <t>通常取0.98</t>
    <phoneticPr fontId="14" type="noConversion"/>
  </si>
  <si>
    <t>电动机备用系数</t>
    <phoneticPr fontId="14" type="noConversion"/>
  </si>
  <si>
    <t>查表选取</t>
    <phoneticPr fontId="14" type="noConversion"/>
  </si>
  <si>
    <t>配套电机功率</t>
    <phoneticPr fontId="14" type="noConversion"/>
  </si>
  <si>
    <r>
      <t>ρβgHq</t>
    </r>
    <r>
      <rPr>
        <vertAlign val="subscript"/>
        <sz val="10"/>
        <rFont val="宋体"/>
        <family val="3"/>
        <charset val="134"/>
      </rPr>
      <t>v</t>
    </r>
    <r>
      <rPr>
        <sz val="10"/>
        <rFont val="宋体"/>
        <family val="3"/>
        <charset val="134"/>
      </rPr>
      <t>/(3600*1000*η*η</t>
    </r>
    <r>
      <rPr>
        <vertAlign val="subscript"/>
        <sz val="10"/>
        <rFont val="宋体"/>
        <family val="3"/>
        <charset val="134"/>
      </rPr>
      <t>2</t>
    </r>
    <r>
      <rPr>
        <sz val="10"/>
        <rFont val="宋体"/>
        <family val="3"/>
        <charset val="134"/>
      </rPr>
      <t>*η</t>
    </r>
    <r>
      <rPr>
        <vertAlign val="subscript"/>
        <sz val="10"/>
        <rFont val="宋体"/>
        <family val="3"/>
        <charset val="134"/>
      </rPr>
      <t>3</t>
    </r>
    <r>
      <rPr>
        <sz val="10"/>
        <rFont val="宋体"/>
        <family val="3"/>
        <charset val="134"/>
      </rPr>
      <t>)</t>
    </r>
    <phoneticPr fontId="14" type="noConversion"/>
  </si>
  <si>
    <t>选用型号</t>
    <phoneticPr fontId="14" type="noConversion"/>
  </si>
  <si>
    <t>两用一备</t>
    <phoneticPr fontId="14" type="noConversion"/>
  </si>
  <si>
    <t>功率</t>
    <phoneticPr fontId="14" type="noConversion"/>
  </si>
  <si>
    <t>扬程</t>
    <phoneticPr fontId="14" type="noConversion"/>
  </si>
  <si>
    <r>
      <rPr>
        <b/>
        <sz val="12"/>
        <color theme="1"/>
        <rFont val="宋体"/>
        <family val="3"/>
        <charset val="134"/>
      </rPr>
      <t>热负荷需求情况</t>
    </r>
  </si>
  <si>
    <r>
      <rPr>
        <b/>
        <sz val="12"/>
        <color theme="1"/>
        <rFont val="宋体"/>
        <family val="3"/>
        <charset val="134"/>
      </rPr>
      <t>采暖热负荷</t>
    </r>
  </si>
  <si>
    <r>
      <rPr>
        <b/>
        <sz val="12"/>
        <color theme="1"/>
        <rFont val="宋体"/>
        <family val="3"/>
        <charset val="134"/>
      </rPr>
      <t>电力系统</t>
    </r>
  </si>
  <si>
    <r>
      <rPr>
        <b/>
        <sz val="12"/>
        <color theme="1"/>
        <rFont val="宋体"/>
        <family val="3"/>
        <charset val="134"/>
      </rPr>
      <t>当地环保要求</t>
    </r>
  </si>
  <si>
    <r>
      <rPr>
        <b/>
        <sz val="12"/>
        <color theme="1"/>
        <rFont val="宋体"/>
        <family val="3"/>
        <charset val="134"/>
      </rPr>
      <t>脱硫脱硝</t>
    </r>
  </si>
  <si>
    <r>
      <t>4</t>
    </r>
    <r>
      <rPr>
        <sz val="12"/>
        <color theme="1"/>
        <rFont val="宋体"/>
        <family val="3"/>
        <charset val="134"/>
      </rPr>
      <t>）</t>
    </r>
    <phoneticPr fontId="1" type="noConversion"/>
  </si>
  <si>
    <r>
      <t>5</t>
    </r>
    <r>
      <rPr>
        <sz val="12"/>
        <color theme="1"/>
        <rFont val="宋体"/>
        <family val="3"/>
        <charset val="134"/>
      </rPr>
      <t>）</t>
    </r>
    <phoneticPr fontId="1" type="noConversion"/>
  </si>
  <si>
    <r>
      <t>6</t>
    </r>
    <r>
      <rPr>
        <sz val="12"/>
        <color theme="1"/>
        <rFont val="宋体"/>
        <family val="3"/>
        <charset val="134"/>
      </rPr>
      <t>）</t>
    </r>
    <phoneticPr fontId="1" type="noConversion"/>
  </si>
  <si>
    <r>
      <t>7</t>
    </r>
    <r>
      <rPr>
        <sz val="12"/>
        <color theme="1"/>
        <rFont val="宋体"/>
        <family val="3"/>
        <charset val="134"/>
      </rPr>
      <t>）</t>
    </r>
    <phoneticPr fontId="1" type="noConversion"/>
  </si>
  <si>
    <r>
      <t>5）</t>
    </r>
    <r>
      <rPr>
        <sz val="12"/>
        <color theme="1"/>
        <rFont val="宋体"/>
        <family val="3"/>
        <charset val="134"/>
      </rPr>
      <t/>
    </r>
  </si>
  <si>
    <r>
      <t>6）</t>
    </r>
    <r>
      <rPr>
        <sz val="12"/>
        <color theme="1"/>
        <rFont val="宋体"/>
        <family val="3"/>
        <charset val="134"/>
      </rPr>
      <t/>
    </r>
  </si>
  <si>
    <r>
      <t>7）</t>
    </r>
    <r>
      <rPr>
        <sz val="12"/>
        <color theme="1"/>
        <rFont val="宋体"/>
        <family val="3"/>
        <charset val="134"/>
      </rPr>
      <t/>
    </r>
  </si>
  <si>
    <r>
      <t>8）</t>
    </r>
    <r>
      <rPr>
        <sz val="12"/>
        <color theme="1"/>
        <rFont val="宋体"/>
        <family val="3"/>
        <charset val="134"/>
      </rPr>
      <t/>
    </r>
  </si>
  <si>
    <r>
      <t>9）</t>
    </r>
    <r>
      <rPr>
        <sz val="12"/>
        <color theme="1"/>
        <rFont val="宋体"/>
        <family val="3"/>
        <charset val="134"/>
      </rPr>
      <t/>
    </r>
  </si>
  <si>
    <r>
      <t>10）</t>
    </r>
    <r>
      <rPr>
        <sz val="12"/>
        <color theme="1"/>
        <rFont val="宋体"/>
        <family val="3"/>
        <charset val="134"/>
      </rPr>
      <t/>
    </r>
  </si>
  <si>
    <r>
      <rPr>
        <b/>
        <sz val="12"/>
        <color theme="1"/>
        <rFont val="宋体"/>
        <family val="3"/>
        <charset val="134"/>
      </rPr>
      <t>工业热负荷</t>
    </r>
  </si>
  <si>
    <r>
      <rPr>
        <b/>
        <sz val="12"/>
        <color theme="1"/>
        <rFont val="宋体"/>
        <family val="3"/>
        <charset val="134"/>
      </rPr>
      <t>其它情况</t>
    </r>
  </si>
  <si>
    <r>
      <rPr>
        <b/>
        <sz val="12"/>
        <color theme="1"/>
        <rFont val="宋体"/>
        <family val="3"/>
        <charset val="134"/>
      </rPr>
      <t>项目选址情况</t>
    </r>
  </si>
  <si>
    <r>
      <rPr>
        <b/>
        <sz val="12"/>
        <color theme="1"/>
        <rFont val="宋体"/>
        <family val="3"/>
        <charset val="134"/>
      </rPr>
      <t>四</t>
    </r>
  </si>
  <si>
    <r>
      <rPr>
        <b/>
        <sz val="12"/>
        <color theme="1"/>
        <rFont val="宋体"/>
        <family val="3"/>
        <charset val="134"/>
      </rPr>
      <t>三</t>
    </r>
  </si>
  <si>
    <r>
      <rPr>
        <b/>
        <sz val="12"/>
        <color theme="1"/>
        <rFont val="宋体"/>
        <family val="3"/>
        <charset val="134"/>
      </rPr>
      <t>二</t>
    </r>
  </si>
  <si>
    <r>
      <rPr>
        <b/>
        <sz val="12"/>
        <color theme="1"/>
        <rFont val="宋体"/>
        <family val="3"/>
        <charset val="134"/>
      </rPr>
      <t>一</t>
    </r>
  </si>
  <si>
    <r>
      <rPr>
        <b/>
        <sz val="12"/>
        <color theme="1"/>
        <rFont val="宋体"/>
        <family val="3"/>
        <charset val="134"/>
      </rPr>
      <t>燃料收到基的元素分析及工业分析</t>
    </r>
  </si>
  <si>
    <r>
      <rPr>
        <b/>
        <sz val="12"/>
        <color theme="1"/>
        <rFont val="宋体"/>
        <family val="3"/>
        <charset val="134"/>
      </rPr>
      <t>设计</t>
    </r>
  </si>
  <si>
    <r>
      <rPr>
        <b/>
        <sz val="12"/>
        <color theme="1"/>
        <rFont val="宋体"/>
        <family val="3"/>
        <charset val="134"/>
      </rPr>
      <t>校核</t>
    </r>
  </si>
  <si>
    <t>输入（自定义）</t>
    <phoneticPr fontId="1" type="noConversion"/>
  </si>
  <si>
    <t>1、锅炉占地</t>
    <phoneticPr fontId="14" type="noConversion"/>
  </si>
  <si>
    <t>烟气量</t>
    <phoneticPr fontId="14" type="noConversion"/>
  </si>
  <si>
    <t>Nm3/h</t>
    <phoneticPr fontId="14" type="noConversion"/>
  </si>
  <si>
    <t>温度</t>
    <phoneticPr fontId="14" type="noConversion"/>
  </si>
  <si>
    <t>℃</t>
    <phoneticPr fontId="14" type="noConversion"/>
  </si>
  <si>
    <t>工况流量</t>
    <phoneticPr fontId="14" type="noConversion"/>
  </si>
  <si>
    <t>m3/h</t>
    <phoneticPr fontId="14" type="noConversion"/>
  </si>
  <si>
    <t>流速</t>
    <phoneticPr fontId="14" type="noConversion"/>
  </si>
  <si>
    <t>m/s</t>
    <phoneticPr fontId="14" type="noConversion"/>
  </si>
  <si>
    <t>流通面积</t>
    <phoneticPr fontId="14" type="noConversion"/>
  </si>
  <si>
    <t>㎡</t>
    <phoneticPr fontId="14" type="noConversion"/>
  </si>
  <si>
    <t>流通比</t>
    <phoneticPr fontId="14" type="noConversion"/>
  </si>
  <si>
    <t>截面积</t>
    <phoneticPr fontId="14" type="noConversion"/>
  </si>
  <si>
    <t>长</t>
    <phoneticPr fontId="14" type="noConversion"/>
  </si>
  <si>
    <t>m</t>
    <phoneticPr fontId="14" type="noConversion"/>
  </si>
  <si>
    <t>宽</t>
    <phoneticPr fontId="14" type="noConversion"/>
  </si>
  <si>
    <t>2、定期排污扩容器</t>
    <phoneticPr fontId="14" type="noConversion"/>
  </si>
  <si>
    <t>符号</t>
    <phoneticPr fontId="14" type="noConversion"/>
  </si>
  <si>
    <t>单位</t>
    <phoneticPr fontId="14" type="noConversion"/>
  </si>
  <si>
    <t>说明</t>
    <phoneticPr fontId="14" type="noConversion"/>
  </si>
  <si>
    <t>计算公式</t>
    <phoneticPr fontId="14" type="noConversion"/>
  </si>
  <si>
    <t>结果</t>
    <phoneticPr fontId="14" type="noConversion"/>
  </si>
  <si>
    <t>锅炉蒸发量</t>
    <phoneticPr fontId="14" type="noConversion"/>
  </si>
  <si>
    <t>D0</t>
    <phoneticPr fontId="14" type="noConversion"/>
  </si>
  <si>
    <t>t/h</t>
    <phoneticPr fontId="14" type="noConversion"/>
  </si>
  <si>
    <t>数据输入</t>
    <phoneticPr fontId="14" type="noConversion"/>
  </si>
  <si>
    <t>排放时间</t>
    <phoneticPr fontId="14" type="noConversion"/>
  </si>
  <si>
    <t>t</t>
    <phoneticPr fontId="14" type="noConversion"/>
  </si>
  <si>
    <t>min</t>
    <phoneticPr fontId="14" type="noConversion"/>
  </si>
  <si>
    <t>一班一次，2-3次，一次0.5-1min</t>
    <phoneticPr fontId="14" type="noConversion"/>
  </si>
  <si>
    <t>输入，自定义，参考范围显示</t>
    <phoneticPr fontId="14" type="noConversion"/>
  </si>
  <si>
    <t>定期排污率</t>
    <phoneticPr fontId="14" type="noConversion"/>
  </si>
  <si>
    <t>η</t>
    <phoneticPr fontId="14" type="noConversion"/>
  </si>
  <si>
    <t>/</t>
    <phoneticPr fontId="14" type="noConversion"/>
  </si>
  <si>
    <t>0.1%-0.5%</t>
    <phoneticPr fontId="14" type="noConversion"/>
  </si>
  <si>
    <t>少排 勤排</t>
    <phoneticPr fontId="14" type="noConversion"/>
  </si>
  <si>
    <t>定期排污水量</t>
    <phoneticPr fontId="14" type="noConversion"/>
  </si>
  <si>
    <t>Dpb</t>
    <phoneticPr fontId="14" type="noConversion"/>
  </si>
  <si>
    <t>kg/h</t>
    <phoneticPr fontId="14" type="noConversion"/>
  </si>
  <si>
    <t>D0*1000*t*60*η</t>
    <phoneticPr fontId="14" type="noConversion"/>
  </si>
  <si>
    <t>输出</t>
    <phoneticPr fontId="14" type="noConversion"/>
  </si>
  <si>
    <t>汽包压力</t>
    <phoneticPr fontId="14" type="noConversion"/>
  </si>
  <si>
    <t>P</t>
    <phoneticPr fontId="14" type="noConversion"/>
  </si>
  <si>
    <t>Mpa</t>
    <phoneticPr fontId="14" type="noConversion"/>
  </si>
  <si>
    <t>汽包压力下的饱和水焓</t>
    <phoneticPr fontId="14" type="noConversion"/>
  </si>
  <si>
    <r>
      <t>h</t>
    </r>
    <r>
      <rPr>
        <vertAlign val="subscript"/>
        <sz val="12"/>
        <rFont val="仿宋_GB2312"/>
        <family val="3"/>
        <charset val="134"/>
      </rPr>
      <t>d</t>
    </r>
    <phoneticPr fontId="14" type="noConversion"/>
  </si>
  <si>
    <t>kj/kg</t>
    <phoneticPr fontId="14" type="noConversion"/>
  </si>
  <si>
    <t>函数计算</t>
    <phoneticPr fontId="14" type="noConversion"/>
  </si>
  <si>
    <t>排污扩容器工作压力</t>
    <phoneticPr fontId="14" type="noConversion"/>
  </si>
  <si>
    <t>扩容器压力选0.15MPa(a)/0.45</t>
    <phoneticPr fontId="14" type="noConversion"/>
  </si>
  <si>
    <t>扩容器压力下饱和水焓</t>
    <phoneticPr fontId="14" type="noConversion"/>
  </si>
  <si>
    <t>hs</t>
    <phoneticPr fontId="14" type="noConversion"/>
  </si>
  <si>
    <t>kj/kg</t>
    <phoneticPr fontId="14" type="noConversion"/>
  </si>
  <si>
    <t>函数计算</t>
    <phoneticPr fontId="14" type="noConversion"/>
  </si>
  <si>
    <t>扩容器压力下汽化潜热</t>
    <phoneticPr fontId="14" type="noConversion"/>
  </si>
  <si>
    <t>r</t>
    <phoneticPr fontId="14" type="noConversion"/>
  </si>
  <si>
    <t>查表（饱和汽焓-饱和水焓）</t>
    <phoneticPr fontId="14" type="noConversion"/>
  </si>
  <si>
    <t>扩容器单位容积润许极限强度</t>
    <phoneticPr fontId="14" type="noConversion"/>
  </si>
  <si>
    <t>R</t>
    <phoneticPr fontId="14" type="noConversion"/>
  </si>
  <si>
    <t>m3/（m3/kg）</t>
    <phoneticPr fontId="14" type="noConversion"/>
  </si>
  <si>
    <t>输入，自定义，参考范围显示</t>
    <phoneticPr fontId="14" type="noConversion"/>
  </si>
  <si>
    <t>排污扩容容积</t>
    <phoneticPr fontId="14" type="noConversion"/>
  </si>
  <si>
    <t>Vv</t>
    <phoneticPr fontId="14" type="noConversion"/>
  </si>
  <si>
    <t>1.3~1.5的富裕系数</t>
    <phoneticPr fontId="14" type="noConversion"/>
  </si>
  <si>
    <t>输出</t>
    <phoneticPr fontId="14" type="noConversion"/>
  </si>
  <si>
    <t>选取</t>
    <phoneticPr fontId="14" type="noConversion"/>
  </si>
  <si>
    <t>考虑紧急放水后：DP-7.5</t>
    <phoneticPr fontId="14" type="noConversion"/>
  </si>
  <si>
    <t>3、连续排污扩容器</t>
    <phoneticPr fontId="14" type="noConversion"/>
  </si>
  <si>
    <t>说明</t>
    <phoneticPr fontId="14" type="noConversion"/>
  </si>
  <si>
    <t>锅炉蒸发量</t>
    <phoneticPr fontId="14" type="noConversion"/>
  </si>
  <si>
    <t>D0</t>
    <phoneticPr fontId="14" type="noConversion"/>
  </si>
  <si>
    <t>数据输入</t>
    <phoneticPr fontId="14" type="noConversion"/>
  </si>
  <si>
    <t>连续排污率</t>
    <phoneticPr fontId="14" type="noConversion"/>
  </si>
  <si>
    <t>η</t>
    <phoneticPr fontId="14" type="noConversion"/>
  </si>
  <si>
    <t>/</t>
    <phoneticPr fontId="14" type="noConversion"/>
  </si>
  <si>
    <t>1%-2%</t>
    <phoneticPr fontId="14" type="noConversion"/>
  </si>
  <si>
    <t>连续排污水量</t>
    <phoneticPr fontId="14" type="noConversion"/>
  </si>
  <si>
    <t>Dpb</t>
    <phoneticPr fontId="14" type="noConversion"/>
  </si>
  <si>
    <t>kg/h</t>
    <phoneticPr fontId="14" type="noConversion"/>
  </si>
  <si>
    <t>D0*1000*η</t>
    <phoneticPr fontId="14" type="noConversion"/>
  </si>
  <si>
    <t>汽包压力</t>
    <phoneticPr fontId="14" type="noConversion"/>
  </si>
  <si>
    <t>汽包压力下的饱和水焓</t>
    <phoneticPr fontId="14" type="noConversion"/>
  </si>
  <si>
    <r>
      <t>h</t>
    </r>
    <r>
      <rPr>
        <vertAlign val="subscript"/>
        <sz val="12"/>
        <rFont val="仿宋_GB2312"/>
        <family val="3"/>
        <charset val="134"/>
      </rPr>
      <t>d</t>
    </r>
    <phoneticPr fontId="14" type="noConversion"/>
  </si>
  <si>
    <t>排污扩容器工作压力</t>
    <phoneticPr fontId="14" type="noConversion"/>
  </si>
  <si>
    <t>扩容器压力选0.15MPa(a)/0.45/1.0</t>
    <phoneticPr fontId="14" type="noConversion"/>
  </si>
  <si>
    <t>扩容器压力下蒸汽比容</t>
    <phoneticPr fontId="14" type="noConversion"/>
  </si>
  <si>
    <t>υ</t>
  </si>
  <si>
    <t>m3/kg</t>
    <phoneticPr fontId="14" type="noConversion"/>
  </si>
  <si>
    <t>查表</t>
    <phoneticPr fontId="14" type="noConversion"/>
  </si>
  <si>
    <t>扩容器蒸汽干度</t>
    <phoneticPr fontId="14" type="noConversion"/>
  </si>
  <si>
    <t>X</t>
    <phoneticPr fontId="14" type="noConversion"/>
  </si>
  <si>
    <t>0.97~0.98</t>
    <phoneticPr fontId="14" type="noConversion"/>
  </si>
  <si>
    <t>输入，自定义</t>
    <phoneticPr fontId="14" type="noConversion"/>
  </si>
  <si>
    <t>排污水汽化量</t>
    <phoneticPr fontId="14" type="noConversion"/>
  </si>
  <si>
    <t>Df</t>
    <phoneticPr fontId="14" type="noConversion"/>
  </si>
  <si>
    <t>(hd*η-hs)/xr</t>
    <phoneticPr fontId="14" type="noConversion"/>
  </si>
  <si>
    <t>排污扩容汽容积</t>
    <phoneticPr fontId="14" type="noConversion"/>
  </si>
  <si>
    <t>DP-3.5/DP-1.5</t>
    <phoneticPr fontId="14" type="noConversion"/>
  </si>
  <si>
    <t>4、磷酸盐加药装置---PH控制在9~11</t>
    <phoneticPr fontId="14" type="noConversion"/>
  </si>
  <si>
    <t>锅炉水系统容积</t>
    <phoneticPr fontId="14" type="noConversion"/>
  </si>
  <si>
    <t>应维持的磷酸根含量</t>
    <phoneticPr fontId="14" type="noConversion"/>
  </si>
  <si>
    <r>
      <t>PO</t>
    </r>
    <r>
      <rPr>
        <vertAlign val="subscript"/>
        <sz val="12"/>
        <rFont val="仿宋_GB2312"/>
        <family val="3"/>
        <charset val="134"/>
      </rPr>
      <t>4</t>
    </r>
    <r>
      <rPr>
        <vertAlign val="superscript"/>
        <sz val="12"/>
        <rFont val="仿宋_GB2312"/>
        <family val="3"/>
        <charset val="134"/>
      </rPr>
      <t>3-</t>
    </r>
    <phoneticPr fontId="14" type="noConversion"/>
  </si>
  <si>
    <t>mg/L</t>
    <phoneticPr fontId="14" type="noConversion"/>
  </si>
  <si>
    <t>10~30</t>
    <phoneticPr fontId="14" type="noConversion"/>
  </si>
  <si>
    <t>给水硬度（原水）</t>
    <phoneticPr fontId="14" type="noConversion"/>
  </si>
  <si>
    <t>mmol/L</t>
    <phoneticPr fontId="14" type="noConversion"/>
  </si>
  <si>
    <t>7.0~9.5</t>
    <phoneticPr fontId="14" type="noConversion"/>
  </si>
  <si>
    <t>纯度</t>
    <phoneticPr fontId="14" type="noConversion"/>
  </si>
  <si>
    <t>ε</t>
    <phoneticPr fontId="14" type="noConversion"/>
  </si>
  <si>
    <t>0.92~0.98</t>
    <phoneticPr fontId="14" type="noConversion"/>
  </si>
  <si>
    <t>锅炉启动时加药量</t>
    <phoneticPr fontId="14" type="noConversion"/>
  </si>
  <si>
    <r>
      <t>q</t>
    </r>
    <r>
      <rPr>
        <vertAlign val="subscript"/>
        <sz val="12"/>
        <rFont val="仿宋_GB2312"/>
        <family val="3"/>
        <charset val="134"/>
      </rPr>
      <t>m</t>
    </r>
    <phoneticPr fontId="14" type="noConversion"/>
  </si>
  <si>
    <t>g</t>
    <phoneticPr fontId="14" type="noConversion"/>
  </si>
  <si>
    <t>V(PO4+28.5*H)/250ε</t>
    <phoneticPr fontId="14" type="noConversion"/>
  </si>
  <si>
    <t>锅炉给水量</t>
    <phoneticPr fontId="14" type="noConversion"/>
  </si>
  <si>
    <r>
      <t>q</t>
    </r>
    <r>
      <rPr>
        <vertAlign val="subscript"/>
        <sz val="12"/>
        <rFont val="仿宋_GB2312"/>
        <family val="3"/>
        <charset val="134"/>
      </rPr>
      <t>fm</t>
    </r>
    <phoneticPr fontId="14" type="noConversion"/>
  </si>
  <si>
    <t>锅炉排污量</t>
    <phoneticPr fontId="14" type="noConversion"/>
  </si>
  <si>
    <r>
      <t>q</t>
    </r>
    <r>
      <rPr>
        <vertAlign val="subscript"/>
        <sz val="12"/>
        <rFont val="仿宋_GB2312"/>
        <family val="3"/>
        <charset val="134"/>
      </rPr>
      <t>bl</t>
    </r>
    <phoneticPr fontId="14" type="noConversion"/>
  </si>
  <si>
    <t>运行时加药量</t>
    <phoneticPr fontId="14" type="noConversion"/>
  </si>
  <si>
    <t>g/h</t>
    <phoneticPr fontId="14" type="noConversion"/>
  </si>
  <si>
    <t>计算</t>
    <phoneticPr fontId="14" type="noConversion"/>
  </si>
  <si>
    <t>磷酸钠浓度</t>
    <phoneticPr fontId="14" type="noConversion"/>
  </si>
  <si>
    <t>C</t>
    <phoneticPr fontId="14" type="noConversion"/>
  </si>
  <si>
    <t>1%~5%</t>
    <phoneticPr fontId="14" type="noConversion"/>
  </si>
  <si>
    <t>在C浓度下的磷酸三钠密度</t>
    <phoneticPr fontId="14" type="noConversion"/>
  </si>
  <si>
    <t>ρ</t>
    <phoneticPr fontId="14" type="noConversion"/>
  </si>
  <si>
    <t>g/cm3</t>
    <phoneticPr fontId="14" type="noConversion"/>
  </si>
  <si>
    <t>见表</t>
    <phoneticPr fontId="14" type="noConversion"/>
  </si>
  <si>
    <t>运行时汽包内加入的溶液量</t>
    <phoneticPr fontId="14" type="noConversion"/>
  </si>
  <si>
    <r>
      <t>q</t>
    </r>
    <r>
      <rPr>
        <vertAlign val="subscript"/>
        <sz val="12"/>
        <rFont val="仿宋_GB2312"/>
        <family val="3"/>
        <charset val="134"/>
      </rPr>
      <t>v</t>
    </r>
    <phoneticPr fontId="14" type="noConversion"/>
  </si>
  <si>
    <t>m3/h</t>
    <phoneticPr fontId="14" type="noConversion"/>
  </si>
  <si>
    <t>qm/10Cρ</t>
    <phoneticPr fontId="14" type="noConversion"/>
  </si>
  <si>
    <t>锅炉设计使用压力</t>
    <phoneticPr fontId="14" type="noConversion"/>
  </si>
  <si>
    <t>省煤器入口进水压力</t>
    <phoneticPr fontId="14" type="noConversion"/>
  </si>
  <si>
    <t>P1</t>
    <phoneticPr fontId="14" type="noConversion"/>
  </si>
  <si>
    <t>当工作压力P≤0.8MPa时，取P+0.05；当0.8&lt;P≤5.9MPa时，取1.06P</t>
    <phoneticPr fontId="14" type="noConversion"/>
  </si>
  <si>
    <t>除氧器工作压力</t>
    <phoneticPr fontId="14" type="noConversion"/>
  </si>
  <si>
    <t>Pd</t>
    <phoneticPr fontId="14" type="noConversion"/>
  </si>
  <si>
    <t>给水管阻力（以压头计）</t>
    <phoneticPr fontId="14" type="noConversion"/>
  </si>
  <si>
    <r>
      <t>ΔP</t>
    </r>
    <r>
      <rPr>
        <vertAlign val="subscript"/>
        <sz val="12"/>
        <rFont val="仿宋_GB2312"/>
        <family val="3"/>
        <charset val="134"/>
      </rPr>
      <t>fw</t>
    </r>
    <phoneticPr fontId="14" type="noConversion"/>
  </si>
  <si>
    <t>计算--许可流速2~3m/s</t>
    <phoneticPr fontId="14" type="noConversion"/>
  </si>
  <si>
    <t>进水管阻力（以压头计）</t>
    <phoneticPr fontId="14" type="noConversion"/>
  </si>
  <si>
    <r>
      <t>ΔP</t>
    </r>
    <r>
      <rPr>
        <vertAlign val="subscript"/>
        <sz val="12"/>
        <rFont val="仿宋_GB2312"/>
        <family val="3"/>
        <charset val="134"/>
      </rPr>
      <t>in</t>
    </r>
    <phoneticPr fontId="14" type="noConversion"/>
  </si>
  <si>
    <t>计算--许可流速0.5~1m/s</t>
    <phoneticPr fontId="14" type="noConversion"/>
  </si>
  <si>
    <t>水泵中心至汽包正常水位的几何高度差</t>
    <phoneticPr fontId="14" type="noConversion"/>
  </si>
  <si>
    <t>Hy</t>
    <phoneticPr fontId="14" type="noConversion"/>
  </si>
  <si>
    <t>除氧器最低水位至水泵中心几何高度差（给水泵进口静水头）</t>
    <phoneticPr fontId="14" type="noConversion"/>
  </si>
  <si>
    <r>
      <t>H</t>
    </r>
    <r>
      <rPr>
        <vertAlign val="subscript"/>
        <sz val="12"/>
        <rFont val="仿宋_GB2312"/>
        <family val="3"/>
        <charset val="134"/>
      </rPr>
      <t>st</t>
    </r>
    <phoneticPr fontId="14" type="noConversion"/>
  </si>
  <si>
    <t>给水泵总扬程</t>
    <phoneticPr fontId="14" type="noConversion"/>
  </si>
  <si>
    <r>
      <t>H</t>
    </r>
    <r>
      <rPr>
        <vertAlign val="subscript"/>
        <sz val="12"/>
        <rFont val="仿宋_GB2312"/>
        <family val="3"/>
        <charset val="134"/>
      </rPr>
      <t>sw</t>
    </r>
    <phoneticPr fontId="14" type="noConversion"/>
  </si>
  <si>
    <r>
      <t>（P1-Pd）*102+1.2*(ΔP</t>
    </r>
    <r>
      <rPr>
        <vertAlign val="subscript"/>
        <sz val="10"/>
        <rFont val="宋体"/>
        <family val="3"/>
        <charset val="134"/>
      </rPr>
      <t>fw</t>
    </r>
    <r>
      <rPr>
        <sz val="10"/>
        <rFont val="宋体"/>
        <family val="3"/>
        <charset val="134"/>
      </rPr>
      <t>+ΔP</t>
    </r>
    <r>
      <rPr>
        <vertAlign val="subscript"/>
        <sz val="10"/>
        <rFont val="宋体"/>
        <family val="3"/>
        <charset val="134"/>
      </rPr>
      <t>in</t>
    </r>
    <r>
      <rPr>
        <sz val="10"/>
        <rFont val="宋体"/>
        <family val="3"/>
        <charset val="134"/>
      </rPr>
      <t>)+Hy-Hst</t>
    </r>
    <phoneticPr fontId="14" type="noConversion"/>
  </si>
  <si>
    <t>已知</t>
    <phoneticPr fontId="14" type="noConversion"/>
  </si>
  <si>
    <t>0.6~0.8</t>
    <phoneticPr fontId="14" type="noConversion"/>
  </si>
  <si>
    <t>η2</t>
    <phoneticPr fontId="14" type="noConversion"/>
  </si>
  <si>
    <t>η3</t>
    <phoneticPr fontId="14" type="noConversion"/>
  </si>
  <si>
    <t>通常取0.9</t>
    <phoneticPr fontId="14" type="noConversion"/>
  </si>
  <si>
    <t>β</t>
    <phoneticPr fontId="14" type="noConversion"/>
  </si>
  <si>
    <t>给水泵选用规格</t>
    <phoneticPr fontId="14" type="noConversion"/>
  </si>
  <si>
    <t>补汽量</t>
    <phoneticPr fontId="14" type="noConversion"/>
  </si>
  <si>
    <t>D0''</t>
    <phoneticPr fontId="14" type="noConversion"/>
  </si>
  <si>
    <t>若无取0</t>
    <phoneticPr fontId="14" type="noConversion"/>
  </si>
  <si>
    <t>厂内汽水循环损失</t>
    <phoneticPr fontId="14" type="noConversion"/>
  </si>
  <si>
    <t>D1</t>
  </si>
  <si>
    <t>排污损失</t>
    <phoneticPr fontId="14" type="noConversion"/>
  </si>
  <si>
    <t>D2</t>
  </si>
  <si>
    <t>凝结水量</t>
    <phoneticPr fontId="14" type="noConversion"/>
  </si>
  <si>
    <t>D0'</t>
    <phoneticPr fontId="14" type="noConversion"/>
  </si>
  <si>
    <t>换热凝结水损失</t>
    <phoneticPr fontId="14" type="noConversion"/>
  </si>
  <si>
    <t>D1'</t>
    <phoneticPr fontId="14" type="noConversion"/>
  </si>
  <si>
    <t>锅炉正常补水量</t>
    <phoneticPr fontId="14" type="noConversion"/>
  </si>
  <si>
    <t>D1s</t>
    <phoneticPr fontId="14" type="noConversion"/>
  </si>
  <si>
    <t>水处理系统正常补水量</t>
    <phoneticPr fontId="14" type="noConversion"/>
  </si>
  <si>
    <t>D4</t>
  </si>
  <si>
    <t>（1+r）*（T+t）*（D1s/T）</t>
    <phoneticPr fontId="14" type="noConversion"/>
  </si>
  <si>
    <t>除盐设备自用水率</t>
    <phoneticPr fontId="14" type="noConversion"/>
  </si>
  <si>
    <t>一级除盐设备工作周期</t>
    <phoneticPr fontId="14" type="noConversion"/>
  </si>
  <si>
    <t>设备再生时间</t>
    <phoneticPr fontId="14" type="noConversion"/>
  </si>
  <si>
    <t>启动或事故增加损失</t>
    <phoneticPr fontId="14" type="noConversion"/>
  </si>
  <si>
    <t>Dx</t>
    <phoneticPr fontId="14" type="noConversion"/>
  </si>
  <si>
    <t>锅炉最大补水量</t>
    <phoneticPr fontId="14" type="noConversion"/>
  </si>
  <si>
    <t>Dbu</t>
    <phoneticPr fontId="14" type="noConversion"/>
  </si>
  <si>
    <t>水处理设备全部出力</t>
    <phoneticPr fontId="14" type="noConversion"/>
  </si>
  <si>
    <t>Q1</t>
    <phoneticPr fontId="14" type="noConversion"/>
  </si>
  <si>
    <t>选取水处理设备出力</t>
    <phoneticPr fontId="14" type="noConversion"/>
  </si>
  <si>
    <t>Q1’</t>
    <phoneticPr fontId="14" type="noConversion"/>
  </si>
  <si>
    <t>2×20</t>
    <phoneticPr fontId="14" type="noConversion"/>
  </si>
  <si>
    <t>储水时间</t>
    <phoneticPr fontId="14" type="noConversion"/>
  </si>
  <si>
    <t>min</t>
    <phoneticPr fontId="14" type="noConversion"/>
  </si>
  <si>
    <t>130t/h以下20min；130t/h以上10~15min</t>
    <phoneticPr fontId="14" type="noConversion"/>
  </si>
  <si>
    <t>容积</t>
    <phoneticPr fontId="14" type="noConversion"/>
  </si>
  <si>
    <t>m3</t>
    <phoneticPr fontId="14" type="noConversion"/>
  </si>
  <si>
    <t>尺寸</t>
    <phoneticPr fontId="14" type="noConversion"/>
  </si>
  <si>
    <t>D</t>
    <phoneticPr fontId="14" type="noConversion"/>
  </si>
  <si>
    <t>直径</t>
    <phoneticPr fontId="14" type="noConversion"/>
  </si>
  <si>
    <t>7、除氧器安装高度核算</t>
    <phoneticPr fontId="14" type="noConversion"/>
  </si>
  <si>
    <t>最大给水量</t>
    <phoneticPr fontId="14" type="noConversion"/>
  </si>
  <si>
    <t>热力除氧压力</t>
    <phoneticPr fontId="14" type="noConversion"/>
  </si>
  <si>
    <t>即液面压力</t>
    <phoneticPr fontId="14" type="noConversion"/>
  </si>
  <si>
    <t>P0</t>
    <phoneticPr fontId="14" type="noConversion"/>
  </si>
  <si>
    <t>与海拔有关</t>
    <phoneticPr fontId="14" type="noConversion"/>
  </si>
  <si>
    <t>当地大气压对应下的密度</t>
    <phoneticPr fontId="14" type="noConversion"/>
  </si>
  <si>
    <t>kg/m3</t>
    <phoneticPr fontId="14" type="noConversion"/>
  </si>
  <si>
    <t>查询</t>
    <phoneticPr fontId="14" type="noConversion"/>
  </si>
  <si>
    <t>设计流量</t>
    <phoneticPr fontId="14" type="noConversion"/>
  </si>
  <si>
    <t>Dmax</t>
    <phoneticPr fontId="14" type="noConversion"/>
  </si>
  <si>
    <t>t/h</t>
    <phoneticPr fontId="14" type="noConversion"/>
  </si>
  <si>
    <t>D0*ρ/ρ'</t>
    <phoneticPr fontId="14" type="noConversion"/>
  </si>
  <si>
    <t>泵必需汽蚀余量</t>
    <phoneticPr fontId="14" type="noConversion"/>
  </si>
  <si>
    <t>NPSHr</t>
    <phoneticPr fontId="14" type="noConversion"/>
  </si>
  <si>
    <t>m</t>
    <phoneticPr fontId="14" type="noConversion"/>
  </si>
  <si>
    <t>估算或样本查询</t>
    <phoneticPr fontId="14" type="noConversion"/>
  </si>
  <si>
    <t>吸入管路的总阻力</t>
    <phoneticPr fontId="14" type="noConversion"/>
  </si>
  <si>
    <t>H’</t>
    <phoneticPr fontId="14" type="noConversion"/>
  </si>
  <si>
    <t>估算</t>
    <phoneticPr fontId="14" type="noConversion"/>
  </si>
  <si>
    <t>泵入口流速</t>
    <phoneticPr fontId="14" type="noConversion"/>
  </si>
  <si>
    <t>V</t>
    <phoneticPr fontId="14" type="noConversion"/>
  </si>
  <si>
    <t>m/s</t>
    <phoneticPr fontId="14" type="noConversion"/>
  </si>
  <si>
    <t>一般0.5~2</t>
    <phoneticPr fontId="14" type="noConversion"/>
  </si>
  <si>
    <t>附加高度</t>
    <phoneticPr fontId="14" type="noConversion"/>
  </si>
  <si>
    <t>一般0.3~0.5</t>
    <phoneticPr fontId="14" type="noConversion"/>
  </si>
  <si>
    <t>泵安装高度</t>
    <phoneticPr fontId="14" type="noConversion"/>
  </si>
  <si>
    <t>H</t>
    <phoneticPr fontId="14" type="noConversion"/>
  </si>
  <si>
    <t>除氧器最低压面距离泵入口中心线距离</t>
    <phoneticPr fontId="14" type="noConversion"/>
  </si>
  <si>
    <t>8、减温减压器---已知减温前、后参数求减温水量及减温后量</t>
    <phoneticPr fontId="14" type="noConversion"/>
  </si>
  <si>
    <t>新蒸汽              温度</t>
    <phoneticPr fontId="14" type="noConversion"/>
  </si>
  <si>
    <t>t0</t>
    <phoneticPr fontId="14" type="noConversion"/>
  </si>
  <si>
    <t>℃</t>
    <phoneticPr fontId="14" type="noConversion"/>
  </si>
  <si>
    <t>给定</t>
    <phoneticPr fontId="14" type="noConversion"/>
  </si>
  <si>
    <t>压力</t>
    <phoneticPr fontId="14" type="noConversion"/>
  </si>
  <si>
    <t>P0</t>
    <phoneticPr fontId="14" type="noConversion"/>
  </si>
  <si>
    <t>MPa</t>
    <phoneticPr fontId="14" type="noConversion"/>
  </si>
  <si>
    <t>焓</t>
    <phoneticPr fontId="14" type="noConversion"/>
  </si>
  <si>
    <t>h0</t>
    <phoneticPr fontId="14" type="noConversion"/>
  </si>
  <si>
    <t>kj/kg</t>
    <phoneticPr fontId="14" type="noConversion"/>
  </si>
  <si>
    <t>查询</t>
    <phoneticPr fontId="14" type="noConversion"/>
  </si>
  <si>
    <t>q0</t>
    <phoneticPr fontId="14" type="noConversion"/>
  </si>
  <si>
    <t>减温水                温度</t>
    <phoneticPr fontId="14" type="noConversion"/>
  </si>
  <si>
    <t>t1</t>
    <phoneticPr fontId="14" type="noConversion"/>
  </si>
  <si>
    <t>压力</t>
    <phoneticPr fontId="14" type="noConversion"/>
  </si>
  <si>
    <t>MPa</t>
    <phoneticPr fontId="14" type="noConversion"/>
  </si>
  <si>
    <t>减温减压器出口压力+1.47MPA</t>
    <phoneticPr fontId="14" type="noConversion"/>
  </si>
  <si>
    <t>h1</t>
    <phoneticPr fontId="14" type="noConversion"/>
  </si>
  <si>
    <t>流量</t>
    <phoneticPr fontId="14" type="noConversion"/>
  </si>
  <si>
    <t>q1</t>
    <phoneticPr fontId="14" type="noConversion"/>
  </si>
  <si>
    <t>计算值</t>
    <phoneticPr fontId="14" type="noConversion"/>
  </si>
  <si>
    <t>减温后蒸汽              温度</t>
    <phoneticPr fontId="14" type="noConversion"/>
  </si>
  <si>
    <t>t2</t>
    <phoneticPr fontId="14" type="noConversion"/>
  </si>
  <si>
    <t>P2</t>
    <phoneticPr fontId="14" type="noConversion"/>
  </si>
  <si>
    <t>h2</t>
    <phoneticPr fontId="14" type="noConversion"/>
  </si>
  <si>
    <t>h2‘</t>
    <phoneticPr fontId="14" type="noConversion"/>
  </si>
  <si>
    <t>饱和水焓值</t>
    <phoneticPr fontId="14" type="noConversion"/>
  </si>
  <si>
    <t>减温水中未蒸发部分所占份额</t>
    <phoneticPr fontId="14" type="noConversion"/>
  </si>
  <si>
    <t>t</t>
    <phoneticPr fontId="14" type="noConversion"/>
  </si>
  <si>
    <t>0.3~0.35</t>
    <phoneticPr fontId="14" type="noConversion"/>
  </si>
  <si>
    <t>q2</t>
    <phoneticPr fontId="14" type="noConversion"/>
  </si>
  <si>
    <t>q0+q1*（1-t）</t>
    <phoneticPr fontId="14" type="noConversion"/>
  </si>
  <si>
    <t>9、蓄热器---单位水容积的蓄热量gs、蓄热器容积计算、质量蒸发强度R2</t>
    <phoneticPr fontId="14" type="noConversion"/>
  </si>
  <si>
    <t>充热压力</t>
    <phoneticPr fontId="14" type="noConversion"/>
  </si>
  <si>
    <t>P1</t>
    <phoneticPr fontId="14" type="noConversion"/>
  </si>
  <si>
    <t>即：锅炉额定压力减去蓄热器和锅炉间管道压降</t>
    <phoneticPr fontId="14" type="noConversion"/>
  </si>
  <si>
    <t>放热压力</t>
    <phoneticPr fontId="14" type="noConversion"/>
  </si>
  <si>
    <t>即：汽包压力加蓄热器和汽包间管道压降</t>
    <phoneticPr fontId="14" type="noConversion"/>
  </si>
  <si>
    <t>充热压力下的饱和水焓</t>
    <phoneticPr fontId="14" type="noConversion"/>
  </si>
  <si>
    <t>h1‘</t>
    <phoneticPr fontId="14" type="noConversion"/>
  </si>
  <si>
    <t>即：蓄热器安装于锅炉和汽包之间</t>
    <phoneticPr fontId="14" type="noConversion"/>
  </si>
  <si>
    <t>放热压力下的饱和水焓</t>
    <phoneticPr fontId="14" type="noConversion"/>
  </si>
  <si>
    <t>充热压力下的饱和汽焓</t>
    <phoneticPr fontId="14" type="noConversion"/>
  </si>
  <si>
    <t>h1”</t>
    <phoneticPr fontId="14" type="noConversion"/>
  </si>
  <si>
    <t>放热压力下的饱和汽焓</t>
    <phoneticPr fontId="14" type="noConversion"/>
  </si>
  <si>
    <t>h2“</t>
    <phoneticPr fontId="14" type="noConversion"/>
  </si>
  <si>
    <t>P2压力下产生蒸汽量</t>
    <phoneticPr fontId="14" type="noConversion"/>
  </si>
  <si>
    <t>g</t>
    <phoneticPr fontId="14" type="noConversion"/>
  </si>
  <si>
    <t>kg</t>
    <phoneticPr fontId="14" type="noConversion"/>
  </si>
  <si>
    <t>热平衡计算</t>
    <phoneticPr fontId="14" type="noConversion"/>
  </si>
  <si>
    <t>充热压力下的饱和水比容</t>
    <phoneticPr fontId="14" type="noConversion"/>
  </si>
  <si>
    <t>r1‘</t>
    <phoneticPr fontId="14" type="noConversion"/>
  </si>
  <si>
    <t>m3/kg</t>
    <phoneticPr fontId="14" type="noConversion"/>
  </si>
  <si>
    <t>单位水容积蓄热量</t>
    <phoneticPr fontId="14" type="noConversion"/>
  </si>
  <si>
    <t>gs</t>
    <phoneticPr fontId="14" type="noConversion"/>
  </si>
  <si>
    <t>g/r1'</t>
    <phoneticPr fontId="14" type="noConversion"/>
  </si>
  <si>
    <t>蓄热器热效率</t>
    <phoneticPr fontId="14" type="noConversion"/>
  </si>
  <si>
    <t>0.95~0.99</t>
    <phoneticPr fontId="14" type="noConversion"/>
  </si>
  <si>
    <t>充水系数</t>
    <phoneticPr fontId="14" type="noConversion"/>
  </si>
  <si>
    <r>
      <t>0.65~</t>
    </r>
    <r>
      <rPr>
        <sz val="10"/>
        <rFont val="宋体"/>
        <family val="3"/>
        <charset val="134"/>
      </rPr>
      <t>0.</t>
    </r>
    <r>
      <rPr>
        <sz val="10"/>
        <rFont val="宋体"/>
        <family val="3"/>
        <charset val="134"/>
      </rPr>
      <t>85</t>
    </r>
    <phoneticPr fontId="14" type="noConversion"/>
  </si>
  <si>
    <t>蓄热器的蓄热量</t>
    <phoneticPr fontId="14" type="noConversion"/>
  </si>
  <si>
    <t>G</t>
    <phoneticPr fontId="14" type="noConversion"/>
  </si>
  <si>
    <t>折算成蒸汽</t>
    <phoneticPr fontId="14" type="noConversion"/>
  </si>
  <si>
    <t>蓄热器容积</t>
    <phoneticPr fontId="14" type="noConversion"/>
  </si>
  <si>
    <r>
      <t>m</t>
    </r>
    <r>
      <rPr>
        <sz val="10"/>
        <rFont val="宋体"/>
        <family val="3"/>
        <charset val="134"/>
      </rPr>
      <t>3</t>
    </r>
    <phoneticPr fontId="14" type="noConversion"/>
  </si>
  <si>
    <t>G/gs*η*η2</t>
    <phoneticPr fontId="14" type="noConversion"/>
  </si>
  <si>
    <t>蓄热器上部蒸汽容积</t>
    <phoneticPr fontId="14" type="noConversion"/>
  </si>
  <si>
    <r>
      <t>V</t>
    </r>
    <r>
      <rPr>
        <sz val="10"/>
        <rFont val="宋体"/>
        <family val="3"/>
        <charset val="134"/>
      </rPr>
      <t>"</t>
    </r>
    <phoneticPr fontId="14" type="noConversion"/>
  </si>
  <si>
    <t>（1-η2）*V</t>
    <phoneticPr fontId="14" type="noConversion"/>
  </si>
  <si>
    <t>锅炉最大负荷</t>
    <phoneticPr fontId="14" type="noConversion"/>
  </si>
  <si>
    <t>Dmax</t>
    <phoneticPr fontId="14" type="noConversion"/>
  </si>
  <si>
    <t>锅炉平均负荷</t>
    <phoneticPr fontId="14" type="noConversion"/>
  </si>
  <si>
    <r>
      <t>D</t>
    </r>
    <r>
      <rPr>
        <sz val="10"/>
        <rFont val="宋体"/>
        <family val="3"/>
        <charset val="134"/>
      </rPr>
      <t>i</t>
    </r>
    <phoneticPr fontId="14" type="noConversion"/>
  </si>
  <si>
    <t>蓄热器最大放汽量</t>
    <phoneticPr fontId="14" type="noConversion"/>
  </si>
  <si>
    <t>Dmax-Di</t>
    <phoneticPr fontId="14" type="noConversion"/>
  </si>
  <si>
    <t>质量蒸发强度</t>
    <phoneticPr fontId="14" type="noConversion"/>
  </si>
  <si>
    <t>R2</t>
    <phoneticPr fontId="14" type="noConversion"/>
  </si>
  <si>
    <t>R2&lt;R2'</t>
    <phoneticPr fontId="14" type="noConversion"/>
  </si>
  <si>
    <r>
      <t>D</t>
    </r>
    <r>
      <rPr>
        <sz val="10"/>
        <rFont val="宋体"/>
        <family val="3"/>
        <charset val="134"/>
      </rPr>
      <t>/V"</t>
    </r>
    <phoneticPr fontId="14" type="noConversion"/>
  </si>
  <si>
    <t>放热压力下的质量蒸发强度</t>
    <phoneticPr fontId="14" type="noConversion"/>
  </si>
  <si>
    <t>R2'</t>
    <phoneticPr fontId="14" type="noConversion"/>
  </si>
  <si>
    <t>充热状态下的体积</t>
    <phoneticPr fontId="14" type="noConversion"/>
  </si>
  <si>
    <t>V1</t>
    <phoneticPr fontId="14" type="noConversion"/>
  </si>
  <si>
    <t>G/gs</t>
    <phoneticPr fontId="14" type="noConversion"/>
  </si>
  <si>
    <t>放热压力下的饱和水比容</t>
    <phoneticPr fontId="14" type="noConversion"/>
  </si>
  <si>
    <r>
      <t>r</t>
    </r>
    <r>
      <rPr>
        <sz val="10"/>
        <rFont val="宋体"/>
        <family val="3"/>
        <charset val="134"/>
      </rPr>
      <t>2</t>
    </r>
    <r>
      <rPr>
        <sz val="10"/>
        <rFont val="宋体"/>
        <family val="3"/>
        <charset val="134"/>
      </rPr>
      <t>‘</t>
    </r>
    <phoneticPr fontId="14" type="noConversion"/>
  </si>
  <si>
    <t>放热完了水的体积</t>
    <phoneticPr fontId="14" type="noConversion"/>
  </si>
  <si>
    <t>V2</t>
    <phoneticPr fontId="14" type="noConversion"/>
  </si>
  <si>
    <t>（V1*r1'-G)/r2'</t>
    <phoneticPr fontId="14" type="noConversion"/>
  </si>
  <si>
    <t>输入，自定义，参考值显示</t>
    <phoneticPr fontId="14" type="noConversion"/>
  </si>
  <si>
    <t>1.2的富裕系数</t>
  </si>
  <si>
    <t>水容积为汽容积的1/4</t>
    <phoneticPr fontId="14" type="noConversion"/>
  </si>
  <si>
    <t>富裕系数</t>
  </si>
  <si>
    <t>富裕系数</t>
    <phoneticPr fontId="1" type="noConversion"/>
  </si>
  <si>
    <t>〔9〕</t>
    <phoneticPr fontId="1" type="noConversion"/>
  </si>
  <si>
    <t>输入，自定义,参考值显示</t>
    <phoneticPr fontId="14" type="noConversion"/>
  </si>
  <si>
    <t>锅炉本体抽取数据</t>
    <phoneticPr fontId="14" type="noConversion"/>
  </si>
  <si>
    <t>汽轮机计算页抽取数据</t>
    <phoneticPr fontId="14" type="noConversion"/>
  </si>
  <si>
    <t>删除</t>
    <phoneticPr fontId="1" type="noConversion"/>
  </si>
  <si>
    <t>5、给水泵</t>
    <phoneticPr fontId="14" type="noConversion"/>
  </si>
  <si>
    <t>6、锅炉补给水处理能力</t>
    <phoneticPr fontId="14" type="noConversion"/>
  </si>
  <si>
    <t>7、除氧水箱/凝结水箱----共用</t>
    <phoneticPr fontId="14" type="noConversion"/>
  </si>
  <si>
    <t>出力系数</t>
    <phoneticPr fontId="1" type="noConversion"/>
  </si>
  <si>
    <t>输入（自定义）</t>
    <phoneticPr fontId="14" type="noConversion"/>
  </si>
  <si>
    <t>钙硫比≥2，一般选2</t>
    <phoneticPr fontId="1" type="noConversion"/>
  </si>
  <si>
    <t>输入（自定义）</t>
    <phoneticPr fontId="14" type="noConversion"/>
  </si>
  <si>
    <t>输入（自定义，参考值显示）</t>
    <phoneticPr fontId="14" type="noConversion"/>
  </si>
  <si>
    <t>输入（自定义，参考文字显示）</t>
    <phoneticPr fontId="14" type="noConversion"/>
  </si>
  <si>
    <t>给定（需求调查表）</t>
    <phoneticPr fontId="1" type="noConversion"/>
  </si>
  <si>
    <t>取8</t>
    <phoneticPr fontId="1" type="noConversion"/>
  </si>
  <si>
    <t>取5d</t>
    <phoneticPr fontId="1" type="noConversion"/>
  </si>
  <si>
    <t>取3</t>
    <phoneticPr fontId="1" type="noConversion"/>
  </si>
  <si>
    <t>已知，取1</t>
    <phoneticPr fontId="1" type="noConversion"/>
  </si>
  <si>
    <t>循化流化床一般飞灰比6：4，7：3</t>
    <phoneticPr fontId="1" type="noConversion"/>
  </si>
  <si>
    <t>电布袋除尘器，取99.8</t>
    <phoneticPr fontId="1" type="noConversion"/>
  </si>
  <si>
    <t>输入（自定义，参考值显示）</t>
    <phoneticPr fontId="1" type="noConversion"/>
  </si>
  <si>
    <t>输入</t>
    <phoneticPr fontId="1" type="noConversion"/>
  </si>
  <si>
    <t>输出（编程时先自定义系数，此框可手动修改）</t>
    <phoneticPr fontId="1" type="noConversion"/>
  </si>
  <si>
    <t>输入（自定义）</t>
    <phoneticPr fontId="1" type="noConversion"/>
  </si>
  <si>
    <t>总风量公式1.1×G18，可分为1台或2台（编程时先自定义输入台数，风比，再输出风量）</t>
    <phoneticPr fontId="14" type="noConversion"/>
  </si>
  <si>
    <t>输出（显示确定系数）</t>
    <phoneticPr fontId="14" type="noConversion"/>
  </si>
  <si>
    <t>输入（自定义，参考值显示）</t>
    <phoneticPr fontId="14" type="noConversion"/>
  </si>
  <si>
    <t>取0.75</t>
    <phoneticPr fontId="14" type="noConversion"/>
  </si>
  <si>
    <t>取0.95</t>
    <phoneticPr fontId="14" type="noConversion"/>
  </si>
  <si>
    <t>取1.1</t>
    <phoneticPr fontId="14" type="noConversion"/>
  </si>
  <si>
    <t>常规20</t>
    <phoneticPr fontId="14" type="noConversion"/>
  </si>
  <si>
    <t>锅炉本体计算输出</t>
    <phoneticPr fontId="14" type="noConversion"/>
  </si>
  <si>
    <t>暂不设计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</si>
</sst>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1">
    <numFmt numFmtId="176" formatCode="0.00_ "/>
    <numFmt numFmtId="177" formatCode="0.000_ "/>
    <numFmt numFmtId="178" formatCode="0_ "/>
    <numFmt numFmtId="179" formatCode="0.0_ "/>
    <numFmt numFmtId="180" formatCode="0.000_);[Red]\(0.000\)"/>
    <numFmt numFmtId="181" formatCode="0.00_);[Red]\(0.00\)"/>
    <numFmt numFmtId="182" formatCode="0.0000_ "/>
    <numFmt numFmtId="183" formatCode="0_);[Red]\(0\)"/>
    <numFmt numFmtId="184" formatCode="0.0%"/>
    <numFmt numFmtId="185" formatCode="0.0000_);[Red]\(0.0000\)"/>
    <numFmt numFmtId="186" formatCode="0.0"/>
  </numFmts>
  <fonts count="93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2"/>
      <scheme val="minor"/>
    </font>
    <font>
      <b/>
      <sz val="11"/>
      <color rgb="FF0070C0"/>
      <name val="宋体"/>
      <family val="3"/>
      <charset val="134"/>
      <scheme val="minor"/>
    </font>
    <font>
      <sz val="12"/>
      <name val="宋体"/>
      <family val="3"/>
      <charset val="134"/>
    </font>
    <font>
      <sz val="12"/>
      <name val="Times New Roman"/>
      <family val="1"/>
    </font>
    <font>
      <vertAlign val="subscript"/>
      <sz val="12"/>
      <name val="Times New Roman"/>
      <family val="1"/>
    </font>
    <font>
      <sz val="12"/>
      <color indexed="8"/>
      <name val="宋体"/>
      <family val="3"/>
      <charset val="134"/>
    </font>
    <font>
      <vertAlign val="subscript"/>
      <sz val="12"/>
      <name val="宋体"/>
      <family val="3"/>
      <charset val="134"/>
    </font>
    <font>
      <vertAlign val="superscript"/>
      <sz val="12"/>
      <name val="宋体"/>
      <family val="3"/>
      <charset val="134"/>
    </font>
    <font>
      <sz val="12"/>
      <color indexed="10"/>
      <name val="宋体"/>
      <family val="3"/>
      <charset val="134"/>
    </font>
    <font>
      <b/>
      <sz val="11"/>
      <color theme="1"/>
      <name val="宋体"/>
      <family val="3"/>
      <charset val="134"/>
      <scheme val="minor"/>
    </font>
    <font>
      <sz val="12"/>
      <color indexed="12"/>
      <name val="宋体"/>
      <family val="3"/>
      <charset val="134"/>
    </font>
    <font>
      <sz val="9"/>
      <name val="宋体"/>
      <family val="3"/>
      <charset val="134"/>
    </font>
    <font>
      <sz val="8"/>
      <color theme="1"/>
      <name val="宋体"/>
      <family val="2"/>
      <scheme val="minor"/>
    </font>
    <font>
      <sz val="11"/>
      <color theme="1"/>
      <name val="宋体"/>
      <family val="3"/>
      <charset val="134"/>
      <scheme val="minor"/>
    </font>
    <font>
      <sz val="12"/>
      <name val="宋体"/>
      <family val="3"/>
      <charset val="134"/>
    </font>
    <font>
      <vertAlign val="superscript"/>
      <sz val="12"/>
      <name val="Times New Roman"/>
      <family val="1"/>
    </font>
    <font>
      <sz val="12"/>
      <color indexed="8"/>
      <name val="宋体"/>
      <family val="3"/>
      <charset val="134"/>
    </font>
    <font>
      <sz val="12"/>
      <color indexed="10"/>
      <name val="宋体"/>
      <family val="3"/>
      <charset val="134"/>
    </font>
    <font>
      <sz val="12"/>
      <color indexed="8"/>
      <name val="Times New Roman"/>
      <family val="1"/>
    </font>
    <font>
      <vertAlign val="subscript"/>
      <sz val="12"/>
      <color indexed="8"/>
      <name val="Times New Roman"/>
      <family val="1"/>
    </font>
    <font>
      <b/>
      <sz val="12"/>
      <name val="宋体"/>
      <family val="3"/>
      <charset val="134"/>
    </font>
    <font>
      <b/>
      <sz val="12"/>
      <color indexed="8"/>
      <name val="宋体"/>
      <family val="3"/>
      <charset val="134"/>
    </font>
    <font>
      <vertAlign val="subscript"/>
      <sz val="12"/>
      <color indexed="8"/>
      <name val="宋体"/>
      <family val="3"/>
      <charset val="134"/>
    </font>
    <font>
      <vertAlign val="superscript"/>
      <sz val="12"/>
      <color indexed="8"/>
      <name val="宋体"/>
      <family val="3"/>
      <charset val="134"/>
    </font>
    <font>
      <b/>
      <sz val="12"/>
      <color indexed="10"/>
      <name val="宋体"/>
      <family val="3"/>
      <charset val="134"/>
    </font>
    <font>
      <sz val="9"/>
      <color indexed="8"/>
      <name val="宋体"/>
      <family val="3"/>
      <charset val="134"/>
    </font>
    <font>
      <vertAlign val="superscript"/>
      <sz val="9"/>
      <color indexed="8"/>
      <name val="宋体"/>
      <family val="3"/>
      <charset val="134"/>
    </font>
    <font>
      <b/>
      <vertAlign val="subscript"/>
      <sz val="12"/>
      <color indexed="8"/>
      <name val="宋体"/>
      <family val="3"/>
      <charset val="134"/>
    </font>
    <font>
      <vertAlign val="subscript"/>
      <sz val="9"/>
      <color indexed="8"/>
      <name val="宋体"/>
      <family val="3"/>
      <charset val="134"/>
    </font>
    <font>
      <vertAlign val="subscript"/>
      <sz val="9"/>
      <name val="宋体"/>
      <family val="3"/>
      <charset val="134"/>
    </font>
    <font>
      <b/>
      <sz val="9"/>
      <name val="宋体"/>
      <family val="3"/>
      <charset val="134"/>
    </font>
    <font>
      <b/>
      <sz val="9"/>
      <name val="Times New Roman"/>
      <family val="1"/>
    </font>
    <font>
      <b/>
      <vertAlign val="subscript"/>
      <sz val="9"/>
      <name val="Times New Roman"/>
      <family val="1"/>
    </font>
    <font>
      <vertAlign val="subscript"/>
      <sz val="9"/>
      <name val="Times New Roman"/>
      <family val="1"/>
    </font>
    <font>
      <sz val="9"/>
      <name val="Times New Roman"/>
      <family val="1"/>
    </font>
    <font>
      <vertAlign val="superscript"/>
      <sz val="9"/>
      <name val="宋体"/>
      <family val="3"/>
      <charset val="134"/>
    </font>
    <font>
      <sz val="12"/>
      <color rgb="FFFF0000"/>
      <name val="宋体"/>
      <family val="3"/>
      <charset val="134"/>
    </font>
    <font>
      <b/>
      <sz val="12"/>
      <color rgb="FFFF0000"/>
      <name val="宋体"/>
      <family val="3"/>
      <charset val="134"/>
      <scheme val="minor"/>
    </font>
    <font>
      <sz val="11"/>
      <color indexed="12"/>
      <name val="宋体"/>
      <family val="3"/>
      <charset val="134"/>
    </font>
    <font>
      <sz val="8"/>
      <color indexed="12"/>
      <name val="宋体"/>
      <family val="3"/>
      <charset val="134"/>
    </font>
    <font>
      <sz val="11"/>
      <name val="宋体"/>
      <family val="3"/>
      <charset val="134"/>
    </font>
    <font>
      <sz val="11"/>
      <color indexed="10"/>
      <name val="宋体"/>
      <family val="3"/>
      <charset val="134"/>
    </font>
    <font>
      <sz val="11"/>
      <name val="Times New Roman"/>
      <family val="1"/>
    </font>
    <font>
      <b/>
      <sz val="11"/>
      <color indexed="10"/>
      <name val="宋体"/>
      <family val="3"/>
      <charset val="134"/>
    </font>
    <font>
      <b/>
      <sz val="12"/>
      <color indexed="12"/>
      <name val="宋体"/>
      <family val="3"/>
      <charset val="134"/>
    </font>
    <font>
      <vertAlign val="subscript"/>
      <sz val="11"/>
      <name val="宋体"/>
      <family val="3"/>
      <charset val="134"/>
    </font>
    <font>
      <b/>
      <sz val="14"/>
      <color indexed="10"/>
      <name val="宋体"/>
      <family val="3"/>
      <charset val="134"/>
    </font>
    <font>
      <sz val="10"/>
      <name val="宋体"/>
      <family val="3"/>
      <charset val="134"/>
    </font>
    <font>
      <sz val="11"/>
      <color indexed="14"/>
      <name val="宋体"/>
      <family val="3"/>
      <charset val="134"/>
    </font>
    <font>
      <b/>
      <sz val="11"/>
      <name val="宋体"/>
      <family val="3"/>
      <charset val="134"/>
    </font>
    <font>
      <vertAlign val="superscript"/>
      <sz val="9"/>
      <name val="Times New Roman"/>
      <family val="1"/>
    </font>
    <font>
      <b/>
      <sz val="12"/>
      <color indexed="9"/>
      <name val="宋体"/>
      <family val="3"/>
      <charset val="134"/>
    </font>
    <font>
      <b/>
      <sz val="9"/>
      <color indexed="8"/>
      <name val="宋体"/>
      <family val="3"/>
      <charset val="134"/>
    </font>
    <font>
      <b/>
      <sz val="9"/>
      <color indexed="40"/>
      <name val="宋体"/>
      <family val="3"/>
      <charset val="134"/>
    </font>
    <font>
      <b/>
      <sz val="9"/>
      <color indexed="10"/>
      <name val="宋体"/>
      <family val="3"/>
      <charset val="134"/>
    </font>
    <font>
      <sz val="11"/>
      <color rgb="FFFF0000"/>
      <name val="宋体"/>
      <family val="3"/>
      <charset val="134"/>
      <scheme val="minor"/>
    </font>
    <font>
      <b/>
      <sz val="14"/>
      <color rgb="FFFF0000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sz val="8"/>
      <name val="宋体"/>
      <family val="3"/>
      <charset val="134"/>
    </font>
    <font>
      <sz val="10"/>
      <color indexed="12"/>
      <name val="宋体"/>
      <family val="3"/>
      <charset val="134"/>
    </font>
    <font>
      <sz val="24"/>
      <color theme="1"/>
      <name val="宋体"/>
      <family val="2"/>
      <scheme val="minor"/>
    </font>
    <font>
      <sz val="11"/>
      <name val="宋体"/>
      <family val="2"/>
      <scheme val="minor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  <font>
      <b/>
      <sz val="12"/>
      <color indexed="81"/>
      <name val="宋体"/>
      <family val="3"/>
      <charset val="134"/>
    </font>
    <font>
      <sz val="12"/>
      <color indexed="81"/>
      <name val="宋体"/>
      <family val="3"/>
      <charset val="134"/>
    </font>
    <font>
      <b/>
      <sz val="14"/>
      <color indexed="81"/>
      <name val="宋体"/>
      <family val="3"/>
      <charset val="134"/>
    </font>
    <font>
      <b/>
      <sz val="16"/>
      <color indexed="81"/>
      <name val="宋体"/>
      <family val="3"/>
      <charset val="134"/>
    </font>
    <font>
      <sz val="14"/>
      <color indexed="81"/>
      <name val="宋体"/>
      <family val="3"/>
      <charset val="134"/>
    </font>
    <font>
      <sz val="16"/>
      <color indexed="81"/>
      <name val="宋体"/>
      <family val="3"/>
      <charset val="134"/>
    </font>
    <font>
      <sz val="12"/>
      <color theme="1"/>
      <name val="宋体"/>
      <family val="3"/>
      <charset val="134"/>
    </font>
    <font>
      <sz val="12"/>
      <color theme="1"/>
      <name val="Times New Roman"/>
      <family val="1"/>
    </font>
    <font>
      <vertAlign val="subscript"/>
      <sz val="12"/>
      <color theme="1"/>
      <name val="Times New Roman"/>
      <family val="1"/>
    </font>
    <font>
      <vertAlign val="subscript"/>
      <sz val="12"/>
      <color theme="1"/>
      <name val="宋体"/>
      <family val="3"/>
      <charset val="134"/>
    </font>
    <font>
      <vertAlign val="superscript"/>
      <sz val="12"/>
      <color theme="1"/>
      <name val="Times New Roman"/>
      <family val="1"/>
    </font>
    <font>
      <b/>
      <sz val="16"/>
      <color theme="1"/>
      <name val="Times New Roman"/>
      <family val="1"/>
    </font>
    <font>
      <b/>
      <sz val="16"/>
      <color theme="1"/>
      <name val="宋体"/>
      <family val="3"/>
      <charset val="134"/>
    </font>
    <font>
      <b/>
      <sz val="11"/>
      <color theme="1"/>
      <name val="Times New Roman"/>
      <family val="1"/>
    </font>
    <font>
      <b/>
      <sz val="14"/>
      <color theme="1"/>
      <name val="Times New Roman"/>
      <family val="1"/>
    </font>
    <font>
      <b/>
      <sz val="14"/>
      <color theme="1"/>
      <name val="宋体"/>
      <family val="3"/>
      <charset val="134"/>
    </font>
    <font>
      <b/>
      <sz val="12"/>
      <color theme="1"/>
      <name val="Times New Roman"/>
      <family val="1"/>
    </font>
    <font>
      <b/>
      <sz val="12"/>
      <color theme="1"/>
      <name val="宋体"/>
      <family val="3"/>
      <charset val="134"/>
    </font>
    <font>
      <vertAlign val="subscript"/>
      <sz val="10"/>
      <name val="宋体"/>
      <family val="3"/>
      <charset val="134"/>
    </font>
    <font>
      <vertAlign val="subscript"/>
      <sz val="12"/>
      <name val="仿宋_GB2312"/>
      <family val="3"/>
      <charset val="134"/>
    </font>
    <font>
      <sz val="12"/>
      <name val="仿宋_GB2312"/>
      <family val="3"/>
      <charset val="134"/>
    </font>
    <font>
      <sz val="12"/>
      <color indexed="9"/>
      <name val="宋体"/>
      <family val="3"/>
      <charset val="134"/>
    </font>
    <font>
      <sz val="10"/>
      <color indexed="10"/>
      <name val="宋体"/>
      <family val="3"/>
      <charset val="134"/>
    </font>
    <font>
      <sz val="12"/>
      <color indexed="10"/>
      <name val="仿宋_GB2312"/>
      <family val="3"/>
      <charset val="134"/>
    </font>
    <font>
      <vertAlign val="superscript"/>
      <sz val="12"/>
      <name val="仿宋_GB2312"/>
      <family val="3"/>
      <charset val="134"/>
    </font>
    <font>
      <sz val="12"/>
      <color indexed="12"/>
      <name val="仿宋_GB2312"/>
      <family val="3"/>
      <charset val="134"/>
    </font>
  </fonts>
  <fills count="22">
    <fill>
      <patternFill patternType="none"/>
    </fill>
    <fill>
      <patternFill patternType="gray125"/>
    </fill>
    <fill>
      <patternFill patternType="solid">
        <fgColor theme="6" tint="0.59999389629810485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rgb="FF0070C0"/>
        <bgColor indexed="64"/>
      </patternFill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medium">
        <color rgb="FF000000"/>
      </left>
      <right/>
      <top style="medium">
        <color rgb="FF000000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rgb="FF000000"/>
      </left>
      <right style="medium">
        <color rgb="FF000000"/>
      </right>
      <top style="medium">
        <color indexed="64"/>
      </top>
      <bottom style="medium">
        <color rgb="FF000000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</borders>
  <cellStyleXfs count="11">
    <xf numFmtId="0" fontId="0" fillId="0" borderId="0"/>
    <xf numFmtId="0" fontId="2" fillId="0" borderId="0">
      <alignment vertical="center"/>
    </xf>
    <xf numFmtId="0" fontId="5" fillId="0" borderId="0">
      <alignment vertical="center"/>
    </xf>
    <xf numFmtId="0" fontId="2" fillId="0" borderId="0">
      <alignment vertical="center"/>
    </xf>
    <xf numFmtId="0" fontId="16" fillId="0" borderId="0">
      <alignment vertical="center"/>
    </xf>
    <xf numFmtId="0" fontId="17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16" fillId="0" borderId="0">
      <alignment vertical="center"/>
    </xf>
    <xf numFmtId="0" fontId="2" fillId="0" borderId="0">
      <alignment vertical="center"/>
    </xf>
    <xf numFmtId="0" fontId="5" fillId="0" borderId="0"/>
  </cellStyleXfs>
  <cellXfs count="527">
    <xf numFmtId="0" fontId="0" fillId="0" borderId="0" xfId="0"/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Fill="1" applyBorder="1" applyAlignment="1">
      <alignment horizontal="center" vertical="center"/>
    </xf>
    <xf numFmtId="0" fontId="0" fillId="0" borderId="1" xfId="0" applyBorder="1"/>
    <xf numFmtId="176" fontId="0" fillId="0" borderId="0" xfId="0" applyNumberFormat="1"/>
    <xf numFmtId="49" fontId="0" fillId="0" borderId="1" xfId="0" applyNumberFormat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0" fillId="0" borderId="1" xfId="0" applyFill="1" applyBorder="1" applyAlignment="1">
      <alignment horizontal="left" vertical="center"/>
    </xf>
    <xf numFmtId="176" fontId="0" fillId="0" borderId="1" xfId="0" applyNumberFormat="1" applyBorder="1"/>
    <xf numFmtId="176" fontId="0" fillId="0" borderId="1" xfId="0" applyNumberFormat="1" applyBorder="1" applyAlignment="1">
      <alignment horizontal="center" vertical="center"/>
    </xf>
    <xf numFmtId="176" fontId="0" fillId="2" borderId="1" xfId="0" applyNumberFormat="1" applyFill="1" applyBorder="1" applyAlignment="1">
      <alignment horizontal="center" vertical="center"/>
    </xf>
    <xf numFmtId="176" fontId="3" fillId="0" borderId="1" xfId="0" applyNumberFormat="1" applyFont="1" applyBorder="1" applyAlignment="1">
      <alignment horizontal="center" vertical="center"/>
    </xf>
    <xf numFmtId="176" fontId="0" fillId="0" borderId="1" xfId="0" applyNumberFormat="1" applyBorder="1" applyAlignment="1">
      <alignment horizontal="center"/>
    </xf>
    <xf numFmtId="0" fontId="5" fillId="0" borderId="1" xfId="1" applyFont="1" applyBorder="1" applyAlignment="1">
      <alignment horizontal="center" vertical="center"/>
    </xf>
    <xf numFmtId="0" fontId="5" fillId="0" borderId="1" xfId="3" applyFont="1" applyBorder="1" applyAlignment="1">
      <alignment horizontal="center" vertical="center"/>
    </xf>
    <xf numFmtId="0" fontId="5" fillId="0" borderId="1" xfId="3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6" fontId="12" fillId="0" borderId="1" xfId="0" applyNumberFormat="1" applyFont="1" applyBorder="1" applyAlignment="1">
      <alignment horizontal="center" vertical="center"/>
    </xf>
    <xf numFmtId="177" fontId="3" fillId="0" borderId="1" xfId="0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13" fillId="0" borderId="0" xfId="0" applyFont="1" applyBorder="1" applyAlignment="1">
      <alignment vertical="center"/>
    </xf>
    <xf numFmtId="0" fontId="0" fillId="0" borderId="0" xfId="0" applyBorder="1" applyAlignment="1">
      <alignment vertical="center"/>
    </xf>
    <xf numFmtId="0" fontId="11" fillId="0" borderId="0" xfId="0" applyFont="1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3" borderId="1" xfId="0" applyFill="1" applyBorder="1" applyAlignment="1">
      <alignment vertical="center"/>
    </xf>
    <xf numFmtId="178" fontId="13" fillId="0" borderId="1" xfId="0" applyNumberFormat="1" applyFont="1" applyFill="1" applyBorder="1" applyAlignment="1">
      <alignment vertical="center"/>
    </xf>
    <xf numFmtId="0" fontId="5" fillId="0" borderId="1" xfId="0" applyFont="1" applyBorder="1" applyAlignment="1">
      <alignment vertical="center"/>
    </xf>
    <xf numFmtId="0" fontId="0" fillId="0" borderId="1" xfId="0" applyFill="1" applyBorder="1" applyAlignment="1">
      <alignment vertical="center"/>
    </xf>
    <xf numFmtId="0" fontId="0" fillId="0" borderId="0" xfId="0" applyFill="1" applyBorder="1" applyAlignment="1">
      <alignment vertical="center"/>
    </xf>
    <xf numFmtId="178" fontId="0" fillId="0" borderId="1" xfId="0" applyNumberFormat="1" applyBorder="1" applyAlignment="1">
      <alignment vertical="center"/>
    </xf>
    <xf numFmtId="179" fontId="0" fillId="0" borderId="1" xfId="0" applyNumberFormat="1" applyBorder="1" applyAlignment="1">
      <alignment vertical="center"/>
    </xf>
    <xf numFmtId="179" fontId="13" fillId="0" borderId="1" xfId="0" applyNumberFormat="1" applyFont="1" applyFill="1" applyBorder="1" applyAlignment="1">
      <alignment vertical="center"/>
    </xf>
    <xf numFmtId="0" fontId="11" fillId="0" borderId="1" xfId="0" applyFont="1" applyBorder="1" applyAlignment="1">
      <alignment vertical="center"/>
    </xf>
    <xf numFmtId="0" fontId="11" fillId="0" borderId="1" xfId="0" applyFont="1" applyFill="1" applyBorder="1" applyAlignment="1">
      <alignment vertical="center"/>
    </xf>
    <xf numFmtId="0" fontId="15" fillId="0" borderId="1" xfId="0" applyFont="1" applyBorder="1" applyAlignment="1">
      <alignment vertical="center"/>
    </xf>
    <xf numFmtId="0" fontId="17" fillId="0" borderId="1" xfId="6" applyFont="1" applyBorder="1" applyAlignment="1">
      <alignment horizontal="center" vertical="center"/>
    </xf>
    <xf numFmtId="180" fontId="19" fillId="5" borderId="1" xfId="6" applyNumberFormat="1" applyFont="1" applyFill="1" applyBorder="1" applyAlignment="1">
      <alignment horizontal="center" vertical="center"/>
    </xf>
    <xf numFmtId="180" fontId="17" fillId="0" borderId="1" xfId="6" applyNumberFormat="1" applyFont="1" applyBorder="1" applyAlignment="1">
      <alignment horizontal="center" vertical="center"/>
    </xf>
    <xf numFmtId="0" fontId="17" fillId="0" borderId="1" xfId="6" applyFont="1" applyBorder="1" applyAlignment="1">
      <alignment horizontal="center" vertical="center"/>
    </xf>
    <xf numFmtId="180" fontId="17" fillId="0" borderId="1" xfId="6" applyNumberFormat="1" applyFont="1" applyBorder="1" applyAlignment="1">
      <alignment horizontal="center" vertical="center"/>
    </xf>
    <xf numFmtId="180" fontId="23" fillId="0" borderId="1" xfId="6" applyNumberFormat="1" applyFont="1" applyFill="1" applyBorder="1" applyAlignment="1">
      <alignment horizontal="center" vertical="center"/>
    </xf>
    <xf numFmtId="0" fontId="17" fillId="0" borderId="1" xfId="6" applyFont="1" applyBorder="1" applyAlignment="1">
      <alignment horizontal="center" vertical="center"/>
    </xf>
    <xf numFmtId="0" fontId="19" fillId="0" borderId="1" xfId="6" applyFont="1" applyBorder="1" applyAlignment="1">
      <alignment horizontal="center" vertical="center"/>
    </xf>
    <xf numFmtId="0" fontId="17" fillId="0" borderId="1" xfId="6" applyFont="1" applyFill="1" applyBorder="1" applyAlignment="1">
      <alignment horizontal="center" vertical="center"/>
    </xf>
    <xf numFmtId="2" fontId="17" fillId="0" borderId="1" xfId="6" applyNumberFormat="1" applyFont="1" applyBorder="1" applyAlignment="1">
      <alignment horizontal="center" vertical="center"/>
    </xf>
    <xf numFmtId="0" fontId="20" fillId="0" borderId="1" xfId="6" applyFont="1" applyBorder="1" applyAlignment="1">
      <alignment horizontal="center" vertical="center"/>
    </xf>
    <xf numFmtId="0" fontId="6" fillId="0" borderId="1" xfId="6" applyFont="1" applyBorder="1" applyAlignment="1">
      <alignment horizontal="center" vertical="center"/>
    </xf>
    <xf numFmtId="180" fontId="17" fillId="0" borderId="1" xfId="6" applyNumberFormat="1" applyFont="1" applyFill="1" applyBorder="1" applyAlignment="1">
      <alignment horizontal="center" vertical="center"/>
    </xf>
    <xf numFmtId="180" fontId="19" fillId="0" borderId="1" xfId="6" applyNumberFormat="1" applyFont="1" applyFill="1" applyBorder="1" applyAlignment="1">
      <alignment horizontal="center" vertical="center"/>
    </xf>
    <xf numFmtId="176" fontId="19" fillId="4" borderId="1" xfId="6" applyNumberFormat="1" applyFont="1" applyFill="1" applyBorder="1" applyAlignment="1" applyProtection="1">
      <alignment horizontal="center" vertical="center"/>
      <protection locked="0"/>
    </xf>
    <xf numFmtId="0" fontId="5" fillId="0" borderId="1" xfId="3" applyFont="1" applyBorder="1" applyAlignment="1">
      <alignment horizontal="center" vertical="center"/>
    </xf>
    <xf numFmtId="0" fontId="8" fillId="0" borderId="1" xfId="3" applyFont="1" applyBorder="1" applyAlignment="1">
      <alignment horizontal="center" vertical="center"/>
    </xf>
    <xf numFmtId="0" fontId="8" fillId="5" borderId="1" xfId="3" applyFont="1" applyFill="1" applyBorder="1" applyAlignment="1">
      <alignment horizontal="center" vertical="center"/>
    </xf>
    <xf numFmtId="0" fontId="6" fillId="5" borderId="1" xfId="3" applyFont="1" applyFill="1" applyBorder="1" applyAlignment="1">
      <alignment horizontal="center" vertical="center"/>
    </xf>
    <xf numFmtId="180" fontId="8" fillId="0" borderId="1" xfId="3" applyNumberFormat="1" applyFont="1" applyBorder="1" applyAlignment="1">
      <alignment horizontal="center" vertical="center"/>
    </xf>
    <xf numFmtId="180" fontId="24" fillId="0" borderId="1" xfId="3" applyNumberFormat="1" applyFont="1" applyBorder="1" applyAlignment="1">
      <alignment horizontal="center" vertical="center"/>
    </xf>
    <xf numFmtId="0" fontId="5" fillId="0" borderId="1" xfId="3" applyFont="1" applyBorder="1" applyAlignment="1">
      <alignment horizontal="center" vertical="center"/>
    </xf>
    <xf numFmtId="0" fontId="8" fillId="0" borderId="1" xfId="3" applyFont="1" applyBorder="1" applyAlignment="1">
      <alignment horizontal="center" vertical="center"/>
    </xf>
    <xf numFmtId="0" fontId="8" fillId="5" borderId="1" xfId="3" applyFont="1" applyFill="1" applyBorder="1" applyAlignment="1">
      <alignment horizontal="center" vertical="center"/>
    </xf>
    <xf numFmtId="0" fontId="5" fillId="0" borderId="1" xfId="3" applyFont="1" applyFill="1" applyBorder="1" applyAlignment="1">
      <alignment horizontal="center" vertical="center"/>
    </xf>
    <xf numFmtId="0" fontId="6" fillId="5" borderId="1" xfId="3" applyFont="1" applyFill="1" applyBorder="1" applyAlignment="1">
      <alignment horizontal="center" vertical="center"/>
    </xf>
    <xf numFmtId="0" fontId="8" fillId="0" borderId="1" xfId="3" applyFont="1" applyBorder="1" applyAlignment="1">
      <alignment vertical="center"/>
    </xf>
    <xf numFmtId="0" fontId="8" fillId="5" borderId="1" xfId="3" applyFont="1" applyFill="1" applyBorder="1" applyAlignment="1">
      <alignment vertical="center"/>
    </xf>
    <xf numFmtId="0" fontId="8" fillId="5" borderId="1" xfId="3" applyFont="1" applyFill="1" applyBorder="1" applyAlignment="1">
      <alignment horizontal="left" vertical="center"/>
    </xf>
    <xf numFmtId="180" fontId="8" fillId="0" borderId="1" xfId="3" applyNumberFormat="1" applyFont="1" applyFill="1" applyBorder="1" applyAlignment="1">
      <alignment horizontal="center" vertical="center"/>
    </xf>
    <xf numFmtId="180" fontId="5" fillId="0" borderId="1" xfId="3" applyNumberFormat="1" applyFont="1" applyBorder="1" applyAlignment="1">
      <alignment horizontal="center" vertical="center"/>
    </xf>
    <xf numFmtId="180" fontId="8" fillId="0" borderId="1" xfId="3" applyNumberFormat="1" applyFont="1" applyBorder="1" applyAlignment="1">
      <alignment horizontal="center" vertical="center"/>
    </xf>
    <xf numFmtId="0" fontId="24" fillId="0" borderId="1" xfId="3" applyFont="1" applyBorder="1" applyAlignment="1">
      <alignment vertical="center"/>
    </xf>
    <xf numFmtId="0" fontId="24" fillId="5" borderId="1" xfId="3" applyFont="1" applyFill="1" applyBorder="1" applyAlignment="1">
      <alignment vertical="center"/>
    </xf>
    <xf numFmtId="0" fontId="8" fillId="0" borderId="1" xfId="3" applyFont="1" applyBorder="1" applyAlignment="1">
      <alignment horizontal="left" vertical="center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0" fontId="5" fillId="0" borderId="1" xfId="3" applyFont="1" applyBorder="1" applyAlignment="1">
      <alignment horizontal="center" vertical="center"/>
    </xf>
    <xf numFmtId="0" fontId="8" fillId="0" borderId="1" xfId="3" applyFont="1" applyBorder="1" applyAlignment="1">
      <alignment horizontal="center" vertical="center"/>
    </xf>
    <xf numFmtId="0" fontId="8" fillId="5" borderId="1" xfId="3" applyFont="1" applyFill="1" applyBorder="1" applyAlignment="1">
      <alignment horizontal="center" vertical="center"/>
    </xf>
    <xf numFmtId="0" fontId="5" fillId="0" borderId="1" xfId="3" applyFont="1" applyFill="1" applyBorder="1" applyAlignment="1">
      <alignment horizontal="center" vertical="center"/>
    </xf>
    <xf numFmtId="0" fontId="6" fillId="5" borderId="1" xfId="3" applyFont="1" applyFill="1" applyBorder="1" applyAlignment="1">
      <alignment horizontal="center" vertical="center"/>
    </xf>
    <xf numFmtId="0" fontId="8" fillId="5" borderId="1" xfId="3" applyFont="1" applyFill="1" applyBorder="1" applyAlignment="1">
      <alignment vertical="center"/>
    </xf>
    <xf numFmtId="180" fontId="5" fillId="0" borderId="1" xfId="3" applyNumberFormat="1" applyFont="1" applyBorder="1" applyAlignment="1">
      <alignment horizontal="center" vertical="center"/>
    </xf>
    <xf numFmtId="180" fontId="8" fillId="0" borderId="1" xfId="3" applyNumberFormat="1" applyFont="1" applyBorder="1" applyAlignment="1">
      <alignment horizontal="center" vertical="center"/>
    </xf>
    <xf numFmtId="0" fontId="24" fillId="0" borderId="1" xfId="3" applyFont="1" applyBorder="1" applyAlignment="1">
      <alignment vertical="center"/>
    </xf>
    <xf numFmtId="0" fontId="8" fillId="0" borderId="1" xfId="3" applyFont="1" applyBorder="1" applyAlignment="1">
      <alignment horizontal="left" vertical="center"/>
    </xf>
    <xf numFmtId="0" fontId="5" fillId="0" borderId="1" xfId="3" applyFont="1" applyBorder="1" applyAlignment="1">
      <alignment horizontal="center" vertical="center"/>
    </xf>
    <xf numFmtId="0" fontId="8" fillId="0" borderId="1" xfId="3" applyFont="1" applyBorder="1" applyAlignment="1">
      <alignment horizontal="center" vertical="center"/>
    </xf>
    <xf numFmtId="0" fontId="8" fillId="5" borderId="1" xfId="3" applyFont="1" applyFill="1" applyBorder="1" applyAlignment="1">
      <alignment horizontal="center" vertical="center"/>
    </xf>
    <xf numFmtId="0" fontId="6" fillId="5" borderId="1" xfId="3" applyFont="1" applyFill="1" applyBorder="1" applyAlignment="1">
      <alignment horizontal="center" vertical="center"/>
    </xf>
    <xf numFmtId="180" fontId="8" fillId="0" borderId="1" xfId="3" applyNumberFormat="1" applyFont="1" applyBorder="1" applyAlignment="1">
      <alignment horizontal="center" vertical="center"/>
    </xf>
    <xf numFmtId="0" fontId="24" fillId="0" borderId="1" xfId="3" applyFont="1" applyBorder="1" applyAlignment="1">
      <alignment vertical="center"/>
    </xf>
    <xf numFmtId="0" fontId="5" fillId="0" borderId="1" xfId="3" applyFont="1" applyBorder="1" applyAlignment="1">
      <alignment horizontal="center" vertical="center"/>
    </xf>
    <xf numFmtId="0" fontId="8" fillId="0" borderId="1" xfId="3" applyFont="1" applyBorder="1" applyAlignment="1">
      <alignment horizontal="center" vertical="center"/>
    </xf>
    <xf numFmtId="2" fontId="5" fillId="0" borderId="1" xfId="3" applyNumberFormat="1" applyFont="1" applyBorder="1" applyAlignment="1">
      <alignment horizontal="center" vertical="center"/>
    </xf>
    <xf numFmtId="0" fontId="6" fillId="0" borderId="1" xfId="3" applyFont="1" applyBorder="1" applyAlignment="1">
      <alignment horizontal="center" vertical="center"/>
    </xf>
    <xf numFmtId="180" fontId="5" fillId="0" borderId="1" xfId="3" applyNumberFormat="1" applyFont="1" applyFill="1" applyBorder="1" applyAlignment="1">
      <alignment horizontal="center" vertical="center"/>
    </xf>
    <xf numFmtId="180" fontId="8" fillId="0" borderId="1" xfId="3" applyNumberFormat="1" applyFont="1" applyBorder="1" applyAlignment="1">
      <alignment horizontal="center" vertical="center"/>
    </xf>
    <xf numFmtId="0" fontId="24" fillId="0" borderId="1" xfId="3" applyFont="1" applyBorder="1" applyAlignment="1">
      <alignment vertical="center"/>
    </xf>
    <xf numFmtId="0" fontId="5" fillId="0" borderId="1" xfId="3" applyFont="1" applyBorder="1" applyAlignment="1">
      <alignment horizontal="center" vertical="center"/>
    </xf>
    <xf numFmtId="0" fontId="8" fillId="0" borderId="1" xfId="3" applyFont="1" applyBorder="1" applyAlignment="1">
      <alignment horizontal="center" vertical="center"/>
    </xf>
    <xf numFmtId="0" fontId="5" fillId="0" borderId="1" xfId="3" applyFont="1" applyFill="1" applyBorder="1" applyAlignment="1">
      <alignment horizontal="center" vertical="center"/>
    </xf>
    <xf numFmtId="0" fontId="6" fillId="0" borderId="1" xfId="3" applyFont="1" applyBorder="1" applyAlignment="1">
      <alignment horizontal="center" vertical="center"/>
    </xf>
    <xf numFmtId="180" fontId="5" fillId="0" borderId="1" xfId="3" applyNumberFormat="1" applyFont="1" applyFill="1" applyBorder="1" applyAlignment="1">
      <alignment horizontal="center" vertical="center"/>
    </xf>
    <xf numFmtId="180" fontId="8" fillId="0" borderId="1" xfId="3" applyNumberFormat="1" applyFont="1" applyFill="1" applyBorder="1" applyAlignment="1">
      <alignment horizontal="center" vertical="center"/>
    </xf>
    <xf numFmtId="180" fontId="8" fillId="0" borderId="1" xfId="3" applyNumberFormat="1" applyFont="1" applyBorder="1" applyAlignment="1">
      <alignment horizontal="center" vertical="center"/>
    </xf>
    <xf numFmtId="0" fontId="24" fillId="0" borderId="1" xfId="3" applyFont="1" applyBorder="1" applyAlignment="1">
      <alignment vertical="center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0" fontId="5" fillId="0" borderId="1" xfId="3" applyFont="1" applyBorder="1" applyAlignment="1">
      <alignment horizontal="center" vertical="center"/>
    </xf>
    <xf numFmtId="0" fontId="8" fillId="0" borderId="1" xfId="3" applyFont="1" applyBorder="1" applyAlignment="1">
      <alignment horizontal="center" vertical="center"/>
    </xf>
    <xf numFmtId="0" fontId="8" fillId="5" borderId="1" xfId="3" applyFont="1" applyFill="1" applyBorder="1" applyAlignment="1">
      <alignment horizontal="center" vertical="center"/>
    </xf>
    <xf numFmtId="0" fontId="6" fillId="5" borderId="1" xfId="3" applyFont="1" applyFill="1" applyBorder="1" applyAlignment="1">
      <alignment horizontal="center" vertical="center"/>
    </xf>
    <xf numFmtId="0" fontId="5" fillId="0" borderId="5" xfId="3" applyFont="1" applyFill="1" applyBorder="1" applyAlignment="1">
      <alignment horizontal="center" vertical="center"/>
    </xf>
    <xf numFmtId="0" fontId="5" fillId="0" borderId="5" xfId="3" applyFont="1" applyBorder="1" applyAlignment="1">
      <alignment horizontal="center" vertical="center"/>
    </xf>
    <xf numFmtId="0" fontId="6" fillId="0" borderId="5" xfId="3" applyFont="1" applyFill="1" applyBorder="1" applyAlignment="1">
      <alignment horizontal="center" vertical="center"/>
    </xf>
    <xf numFmtId="180" fontId="5" fillId="0" borderId="1" xfId="3" applyNumberFormat="1" applyFont="1" applyFill="1" applyBorder="1" applyAlignment="1">
      <alignment horizontal="center" vertical="center"/>
    </xf>
    <xf numFmtId="180" fontId="8" fillId="0" borderId="1" xfId="3" applyNumberFormat="1" applyFont="1" applyFill="1" applyBorder="1" applyAlignment="1">
      <alignment horizontal="center" vertical="center"/>
    </xf>
    <xf numFmtId="180" fontId="5" fillId="0" borderId="1" xfId="3" applyNumberFormat="1" applyFont="1" applyBorder="1" applyAlignment="1">
      <alignment horizontal="center" vertical="center"/>
    </xf>
    <xf numFmtId="180" fontId="8" fillId="0" borderId="1" xfId="3" applyNumberFormat="1" applyFont="1" applyBorder="1" applyAlignment="1">
      <alignment horizontal="center" vertical="center"/>
    </xf>
    <xf numFmtId="180" fontId="8" fillId="0" borderId="5" xfId="3" applyNumberFormat="1" applyFont="1" applyBorder="1" applyAlignment="1">
      <alignment horizontal="center" vertical="center"/>
    </xf>
    <xf numFmtId="181" fontId="0" fillId="0" borderId="1" xfId="0" applyNumberFormat="1" applyBorder="1" applyAlignment="1">
      <alignment horizontal="center"/>
    </xf>
    <xf numFmtId="181" fontId="0" fillId="0" borderId="1" xfId="0" applyNumberFormat="1" applyBorder="1" applyAlignment="1">
      <alignment horizontal="center" vertical="center"/>
    </xf>
    <xf numFmtId="181" fontId="0" fillId="2" borderId="1" xfId="0" applyNumberFormat="1" applyFill="1" applyBorder="1" applyAlignment="1">
      <alignment horizontal="center" vertical="center"/>
    </xf>
    <xf numFmtId="181" fontId="0" fillId="0" borderId="0" xfId="0" applyNumberFormat="1" applyAlignment="1">
      <alignment horizontal="center"/>
    </xf>
    <xf numFmtId="181" fontId="12" fillId="0" borderId="1" xfId="0" applyNumberFormat="1" applyFont="1" applyBorder="1" applyAlignment="1">
      <alignment horizontal="center" vertical="center"/>
    </xf>
    <xf numFmtId="0" fontId="8" fillId="0" borderId="1" xfId="0" applyFont="1" applyBorder="1" applyAlignment="1">
      <alignment horizontal="left" vertical="center"/>
    </xf>
    <xf numFmtId="0" fontId="8" fillId="0" borderId="1" xfId="0" applyFont="1" applyFill="1" applyBorder="1" applyAlignment="1">
      <alignment horizontal="left" vertical="center"/>
    </xf>
    <xf numFmtId="0" fontId="5" fillId="0" borderId="1" xfId="0" applyFont="1" applyBorder="1" applyAlignment="1">
      <alignment horizontal="left" vertical="center"/>
    </xf>
    <xf numFmtId="176" fontId="27" fillId="4" borderId="1" xfId="3" applyNumberFormat="1" applyFont="1" applyFill="1" applyBorder="1" applyAlignment="1" applyProtection="1">
      <alignment horizontal="center" vertical="center"/>
      <protection locked="0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181" fontId="8" fillId="0" borderId="1" xfId="3" applyNumberFormat="1" applyFont="1" applyBorder="1" applyAlignment="1">
      <alignment horizontal="center" vertical="center"/>
    </xf>
    <xf numFmtId="181" fontId="27" fillId="4" borderId="1" xfId="3" applyNumberFormat="1" applyFont="1" applyFill="1" applyBorder="1" applyAlignment="1" applyProtection="1">
      <alignment horizontal="center" vertical="center"/>
      <protection locked="0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181" fontId="8" fillId="0" borderId="1" xfId="3" applyNumberFormat="1" applyFont="1" applyBorder="1" applyAlignment="1">
      <alignment horizontal="center" vertical="center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181" fontId="8" fillId="0" borderId="1" xfId="3" applyNumberFormat="1" applyFont="1" applyBorder="1" applyAlignment="1">
      <alignment horizontal="center" vertical="center"/>
    </xf>
    <xf numFmtId="181" fontId="8" fillId="0" borderId="1" xfId="3" applyNumberFormat="1" applyFont="1" applyBorder="1" applyAlignment="1">
      <alignment horizontal="center" vertical="center"/>
    </xf>
    <xf numFmtId="181" fontId="24" fillId="0" borderId="1" xfId="3" applyNumberFormat="1" applyFont="1" applyBorder="1" applyAlignment="1">
      <alignment horizontal="center" vertical="center"/>
    </xf>
    <xf numFmtId="181" fontId="8" fillId="0" borderId="1" xfId="3" applyNumberFormat="1" applyFont="1" applyBorder="1" applyAlignment="1">
      <alignment horizontal="center" vertical="center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181" fontId="8" fillId="0" borderId="1" xfId="3" applyNumberFormat="1" applyFont="1" applyBorder="1" applyAlignment="1">
      <alignment horizontal="center" vertical="center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181" fontId="8" fillId="0" borderId="1" xfId="3" applyNumberFormat="1" applyFont="1" applyBorder="1" applyAlignment="1">
      <alignment horizontal="center" vertical="center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181" fontId="8" fillId="0" borderId="1" xfId="3" applyNumberFormat="1" applyFont="1" applyBorder="1" applyAlignment="1">
      <alignment horizontal="center" vertical="center"/>
    </xf>
    <xf numFmtId="181" fontId="8" fillId="0" borderId="5" xfId="3" applyNumberFormat="1" applyFont="1" applyBorder="1" applyAlignment="1">
      <alignment horizontal="center" vertical="center"/>
    </xf>
    <xf numFmtId="181" fontId="27" fillId="4" borderId="1" xfId="3" applyNumberFormat="1" applyFont="1" applyFill="1" applyBorder="1" applyAlignment="1" applyProtection="1">
      <alignment horizontal="center" vertical="center"/>
      <protection locked="0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181" fontId="8" fillId="0" borderId="1" xfId="3" applyNumberFormat="1" applyFont="1" applyBorder="1" applyAlignment="1">
      <alignment horizontal="center" vertical="center"/>
    </xf>
    <xf numFmtId="0" fontId="8" fillId="0" borderId="1" xfId="3" applyFont="1" applyBorder="1" applyAlignment="1" applyProtection="1">
      <alignment horizontal="center" vertical="center"/>
    </xf>
    <xf numFmtId="0" fontId="5" fillId="0" borderId="1" xfId="3" applyFont="1" applyBorder="1" applyAlignment="1" applyProtection="1">
      <alignment horizontal="center" vertical="center"/>
    </xf>
    <xf numFmtId="176" fontId="5" fillId="0" borderId="1" xfId="3" applyNumberFormat="1" applyFont="1" applyBorder="1" applyAlignment="1" applyProtection="1">
      <alignment horizontal="center" vertical="center"/>
    </xf>
    <xf numFmtId="0" fontId="5" fillId="0" borderId="1" xfId="3" applyFont="1" applyBorder="1" applyAlignment="1" applyProtection="1">
      <alignment horizontal="center" vertical="center" wrapText="1"/>
    </xf>
    <xf numFmtId="181" fontId="24" fillId="0" borderId="1" xfId="3" applyNumberFormat="1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6" fontId="0" fillId="6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2" fontId="12" fillId="0" borderId="1" xfId="0" applyNumberFormat="1" applyFont="1" applyBorder="1" applyAlignment="1">
      <alignment horizontal="center" vertical="center"/>
    </xf>
    <xf numFmtId="0" fontId="39" fillId="0" borderId="1" xfId="0" applyFont="1" applyBorder="1" applyAlignment="1">
      <alignment horizontal="left" vertical="center"/>
    </xf>
    <xf numFmtId="9" fontId="8" fillId="0" borderId="1" xfId="0" applyNumberFormat="1" applyFont="1" applyBorder="1" applyAlignment="1">
      <alignment horizontal="left" vertical="center"/>
    </xf>
    <xf numFmtId="183" fontId="27" fillId="4" borderId="1" xfId="3" applyNumberFormat="1" applyFont="1" applyFill="1" applyBorder="1" applyAlignment="1" applyProtection="1">
      <alignment horizontal="center" vertical="center"/>
      <protection locked="0"/>
    </xf>
    <xf numFmtId="49" fontId="0" fillId="0" borderId="6" xfId="0" applyNumberFormat="1" applyBorder="1" applyAlignment="1">
      <alignment horizontal="center" vertical="center"/>
    </xf>
    <xf numFmtId="0" fontId="13" fillId="0" borderId="0" xfId="0" applyFont="1" applyBorder="1" applyAlignment="1">
      <alignment horizontal="center" vertical="center"/>
    </xf>
    <xf numFmtId="2" fontId="12" fillId="0" borderId="1" xfId="0" applyNumberFormat="1" applyFont="1" applyBorder="1" applyAlignment="1">
      <alignment horizontal="center"/>
    </xf>
    <xf numFmtId="0" fontId="24" fillId="0" borderId="1" xfId="0" applyFont="1" applyBorder="1" applyAlignment="1">
      <alignment horizontal="left" vertical="center"/>
    </xf>
    <xf numFmtId="0" fontId="12" fillId="0" borderId="1" xfId="0" applyFont="1" applyBorder="1" applyAlignment="1">
      <alignment horizontal="center"/>
    </xf>
    <xf numFmtId="9" fontId="0" fillId="0" borderId="1" xfId="0" applyNumberFormat="1" applyBorder="1"/>
    <xf numFmtId="0" fontId="2" fillId="0" borderId="1" xfId="0" applyFont="1" applyBorder="1" applyAlignment="1">
      <alignment horizontal="center"/>
    </xf>
    <xf numFmtId="0" fontId="8" fillId="0" borderId="4" xfId="0" applyFont="1" applyBorder="1" applyAlignment="1">
      <alignment horizontal="left" vertical="center"/>
    </xf>
    <xf numFmtId="0" fontId="40" fillId="7" borderId="1" xfId="0" applyFont="1" applyFill="1" applyBorder="1"/>
    <xf numFmtId="1" fontId="0" fillId="3" borderId="1" xfId="0" applyNumberFormat="1" applyFill="1" applyBorder="1" applyAlignment="1">
      <alignment vertical="center"/>
    </xf>
    <xf numFmtId="1" fontId="0" fillId="0" borderId="1" xfId="0" applyNumberFormat="1" applyFill="1" applyBorder="1" applyAlignment="1">
      <alignment vertical="center"/>
    </xf>
    <xf numFmtId="176" fontId="13" fillId="0" borderId="0" xfId="0" applyNumberFormat="1" applyFon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/>
    </xf>
    <xf numFmtId="176" fontId="0" fillId="0" borderId="0" xfId="0" applyNumberFormat="1" applyAlignment="1">
      <alignment horizontal="center"/>
    </xf>
    <xf numFmtId="176" fontId="12" fillId="0" borderId="1" xfId="0" applyNumberFormat="1" applyFont="1" applyBorder="1" applyAlignment="1">
      <alignment horizontal="center"/>
    </xf>
    <xf numFmtId="178" fontId="12" fillId="0" borderId="1" xfId="0" applyNumberFormat="1" applyFont="1" applyBorder="1" applyAlignment="1">
      <alignment horizontal="center" vertical="center"/>
    </xf>
    <xf numFmtId="178" fontId="0" fillId="6" borderId="1" xfId="0" applyNumberFormat="1" applyFill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178" fontId="0" fillId="0" borderId="1" xfId="0" applyNumberFormat="1" applyBorder="1" applyAlignment="1">
      <alignment horizontal="center" vertical="center"/>
    </xf>
    <xf numFmtId="49" fontId="43" fillId="0" borderId="1" xfId="0" applyNumberFormat="1" applyFont="1" applyBorder="1" applyAlignment="1">
      <alignment horizontal="center" vertical="center"/>
    </xf>
    <xf numFmtId="0" fontId="43" fillId="0" borderId="1" xfId="0" applyFont="1" applyFill="1" applyBorder="1" applyAlignment="1"/>
    <xf numFmtId="176" fontId="43" fillId="0" borderId="1" xfId="0" applyNumberFormat="1" applyFont="1" applyBorder="1" applyAlignment="1">
      <alignment horizontal="center" vertical="center"/>
    </xf>
    <xf numFmtId="0" fontId="43" fillId="0" borderId="1" xfId="0" applyFont="1" applyBorder="1" applyAlignment="1">
      <alignment vertical="center"/>
    </xf>
    <xf numFmtId="0" fontId="43" fillId="0" borderId="1" xfId="0" applyFont="1" applyBorder="1" applyAlignment="1">
      <alignment horizontal="left" vertical="center"/>
    </xf>
    <xf numFmtId="176" fontId="43" fillId="8" borderId="1" xfId="0" applyNumberFormat="1" applyFont="1" applyFill="1" applyBorder="1" applyAlignment="1">
      <alignment horizontal="center" vertical="center"/>
    </xf>
    <xf numFmtId="0" fontId="43" fillId="0" borderId="1" xfId="0" applyFont="1" applyFill="1" applyBorder="1" applyAlignment="1">
      <alignment horizontal="right"/>
    </xf>
    <xf numFmtId="0" fontId="43" fillId="0" borderId="1" xfId="0" applyFont="1" applyBorder="1" applyAlignment="1">
      <alignment horizontal="right" vertical="center"/>
    </xf>
    <xf numFmtId="0" fontId="43" fillId="0" borderId="1" xfId="0" applyFont="1" applyFill="1" applyBorder="1" applyAlignment="1">
      <alignment vertical="center"/>
    </xf>
    <xf numFmtId="0" fontId="44" fillId="0" borderId="1" xfId="0" applyFont="1" applyBorder="1" applyAlignment="1">
      <alignment vertical="center"/>
    </xf>
    <xf numFmtId="176" fontId="43" fillId="0" borderId="1" xfId="0" applyNumberFormat="1" applyFont="1" applyFill="1" applyBorder="1" applyAlignment="1">
      <alignment horizontal="center" vertical="center"/>
    </xf>
    <xf numFmtId="0" fontId="43" fillId="0" borderId="1" xfId="0" applyFont="1" applyFill="1" applyBorder="1" applyAlignment="1">
      <alignment horizontal="left" vertical="center"/>
    </xf>
    <xf numFmtId="0" fontId="45" fillId="0" borderId="1" xfId="10" applyFont="1" applyFill="1" applyBorder="1" applyAlignment="1">
      <alignment horizontal="left" vertical="center" shrinkToFit="1"/>
    </xf>
    <xf numFmtId="177" fontId="43" fillId="8" borderId="1" xfId="0" applyNumberFormat="1" applyFont="1" applyFill="1" applyBorder="1" applyAlignment="1">
      <alignment horizontal="center" vertical="center"/>
    </xf>
    <xf numFmtId="0" fontId="43" fillId="0" borderId="1" xfId="0" applyFont="1" applyFill="1" applyBorder="1" applyAlignment="1">
      <alignment horizontal="right" vertical="center"/>
    </xf>
    <xf numFmtId="0" fontId="46" fillId="0" borderId="1" xfId="0" applyFont="1" applyBorder="1" applyAlignment="1">
      <alignment vertical="center"/>
    </xf>
    <xf numFmtId="176" fontId="47" fillId="8" borderId="1" xfId="0" applyNumberFormat="1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right" vertical="center"/>
    </xf>
    <xf numFmtId="0" fontId="0" fillId="0" borderId="3" xfId="0" applyBorder="1" applyAlignment="1">
      <alignment vertical="center"/>
    </xf>
    <xf numFmtId="0" fontId="43" fillId="0" borderId="3" xfId="0" applyFont="1" applyBorder="1" applyAlignment="1">
      <alignment vertical="center"/>
    </xf>
    <xf numFmtId="0" fontId="11" fillId="0" borderId="3" xfId="0" applyFont="1" applyBorder="1" applyAlignment="1">
      <alignment vertical="center"/>
    </xf>
    <xf numFmtId="0" fontId="0" fillId="9" borderId="1" xfId="0" applyFill="1" applyBorder="1" applyAlignment="1">
      <alignment horizontal="center" vertical="center" wrapText="1"/>
    </xf>
    <xf numFmtId="0" fontId="43" fillId="9" borderId="1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9" borderId="1" xfId="0" applyFill="1" applyBorder="1" applyAlignment="1">
      <alignment horizontal="center" vertical="center"/>
    </xf>
    <xf numFmtId="178" fontId="0" fillId="8" borderId="1" xfId="0" applyNumberFormat="1" applyFill="1" applyBorder="1" applyAlignment="1">
      <alignment horizontal="left" vertical="center"/>
    </xf>
    <xf numFmtId="176" fontId="0" fillId="9" borderId="1" xfId="0" applyNumberFormat="1" applyFill="1" applyBorder="1" applyAlignment="1">
      <alignment horizontal="left" vertical="center"/>
    </xf>
    <xf numFmtId="0" fontId="0" fillId="9" borderId="1" xfId="0" applyFill="1" applyBorder="1" applyAlignment="1">
      <alignment horizontal="left" vertical="center"/>
    </xf>
    <xf numFmtId="9" fontId="0" fillId="9" borderId="1" xfId="0" applyNumberFormat="1" applyFill="1" applyBorder="1" applyAlignment="1">
      <alignment horizontal="left" vertical="center"/>
    </xf>
    <xf numFmtId="0" fontId="0" fillId="0" borderId="0" xfId="0" applyBorder="1" applyAlignment="1">
      <alignment horizontal="center" vertical="center"/>
    </xf>
    <xf numFmtId="176" fontId="0" fillId="0" borderId="0" xfId="0" applyNumberFormat="1" applyBorder="1" applyAlignment="1">
      <alignment horizontal="center" vertical="center"/>
    </xf>
    <xf numFmtId="179" fontId="0" fillId="9" borderId="1" xfId="0" applyNumberFormat="1" applyFill="1" applyBorder="1" applyAlignment="1">
      <alignment horizontal="left" vertical="center"/>
    </xf>
    <xf numFmtId="0" fontId="27" fillId="9" borderId="1" xfId="0" applyFont="1" applyFill="1" applyBorder="1" applyAlignment="1">
      <alignment horizontal="center" vertical="center"/>
    </xf>
    <xf numFmtId="0" fontId="27" fillId="9" borderId="1" xfId="0" applyFont="1" applyFill="1" applyBorder="1" applyAlignment="1">
      <alignment horizontal="left" vertical="center"/>
    </xf>
    <xf numFmtId="9" fontId="27" fillId="9" borderId="1" xfId="0" applyNumberFormat="1" applyFont="1" applyFill="1" applyBorder="1" applyAlignment="1">
      <alignment horizontal="left" vertical="center"/>
    </xf>
    <xf numFmtId="179" fontId="0" fillId="8" borderId="1" xfId="0" applyNumberFormat="1" applyFill="1" applyBorder="1" applyAlignment="1">
      <alignment horizontal="left" vertical="center"/>
    </xf>
    <xf numFmtId="176" fontId="0" fillId="8" borderId="1" xfId="0" applyNumberFormat="1" applyFill="1" applyBorder="1" applyAlignment="1">
      <alignment horizontal="left" vertical="center"/>
    </xf>
    <xf numFmtId="176" fontId="5" fillId="0" borderId="1" xfId="0" applyNumberFormat="1" applyFont="1" applyFill="1" applyBorder="1" applyAlignment="1">
      <alignment horizontal="center" vertical="center"/>
    </xf>
    <xf numFmtId="176" fontId="0" fillId="0" borderId="0" xfId="0" applyNumberFormat="1" applyBorder="1" applyAlignment="1">
      <alignment vertical="center"/>
    </xf>
    <xf numFmtId="10" fontId="0" fillId="0" borderId="0" xfId="0" applyNumberFormat="1" applyBorder="1" applyAlignment="1">
      <alignment vertical="center"/>
    </xf>
    <xf numFmtId="176" fontId="0" fillId="3" borderId="1" xfId="0" applyNumberFormat="1" applyFill="1" applyBorder="1" applyAlignment="1">
      <alignment horizontal="center" vertical="center"/>
    </xf>
    <xf numFmtId="176" fontId="43" fillId="0" borderId="3" xfId="0" applyNumberFormat="1" applyFont="1" applyBorder="1" applyAlignment="1">
      <alignment horizontal="center" vertical="center"/>
    </xf>
    <xf numFmtId="176" fontId="0" fillId="9" borderId="1" xfId="0" applyNumberFormat="1" applyFill="1" applyBorder="1" applyAlignment="1">
      <alignment horizontal="center" vertical="center" wrapText="1"/>
    </xf>
    <xf numFmtId="176" fontId="43" fillId="9" borderId="1" xfId="0" applyNumberFormat="1" applyFont="1" applyFill="1" applyBorder="1" applyAlignment="1">
      <alignment horizontal="center" vertical="center" wrapText="1"/>
    </xf>
    <xf numFmtId="176" fontId="0" fillId="9" borderId="1" xfId="0" applyNumberFormat="1" applyFill="1" applyBorder="1" applyAlignment="1">
      <alignment horizontal="center" vertical="center"/>
    </xf>
    <xf numFmtId="176" fontId="27" fillId="9" borderId="1" xfId="0" applyNumberFormat="1" applyFont="1" applyFill="1" applyBorder="1" applyAlignment="1">
      <alignment horizontal="center" vertical="center"/>
    </xf>
    <xf numFmtId="176" fontId="5" fillId="3" borderId="1" xfId="0" applyNumberFormat="1" applyFont="1" applyFill="1" applyBorder="1" applyAlignment="1">
      <alignment horizontal="center" vertical="center"/>
    </xf>
    <xf numFmtId="176" fontId="27" fillId="3" borderId="1" xfId="0" applyNumberFormat="1" applyFont="1" applyFill="1" applyBorder="1" applyAlignment="1">
      <alignment horizontal="center" vertical="center"/>
    </xf>
    <xf numFmtId="176" fontId="0" fillId="10" borderId="1" xfId="0" applyNumberFormat="1" applyFill="1" applyBorder="1" applyAlignment="1">
      <alignment horizontal="center" vertical="center"/>
    </xf>
    <xf numFmtId="176" fontId="0" fillId="8" borderId="1" xfId="0" applyNumberFormat="1" applyFill="1" applyBorder="1" applyAlignment="1">
      <alignment horizontal="center" vertical="center"/>
    </xf>
    <xf numFmtId="178" fontId="49" fillId="8" borderId="4" xfId="0" applyNumberFormat="1" applyFont="1" applyFill="1" applyBorder="1" applyAlignment="1">
      <alignment horizontal="center" vertical="center"/>
    </xf>
    <xf numFmtId="0" fontId="52" fillId="0" borderId="1" xfId="0" applyFont="1" applyFill="1" applyBorder="1" applyAlignment="1">
      <alignment horizontal="left" vertical="center"/>
    </xf>
    <xf numFmtId="176" fontId="52" fillId="0" borderId="1" xfId="0" applyNumberFormat="1" applyFont="1" applyFill="1" applyBorder="1" applyAlignment="1">
      <alignment horizontal="center" vertical="center"/>
    </xf>
    <xf numFmtId="184" fontId="0" fillId="0" borderId="1" xfId="0" applyNumberFormat="1" applyBorder="1" applyAlignment="1">
      <alignment horizontal="center" vertical="center"/>
    </xf>
    <xf numFmtId="184" fontId="3" fillId="7" borderId="1" xfId="0" applyNumberFormat="1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7" fillId="0" borderId="1" xfId="6" applyFont="1" applyBorder="1" applyAlignment="1">
      <alignment horizontal="center" vertical="center"/>
    </xf>
    <xf numFmtId="0" fontId="28" fillId="0" borderId="0" xfId="3" applyFont="1" applyFill="1" applyBorder="1" applyAlignment="1">
      <alignment horizontal="left" vertical="center"/>
    </xf>
    <xf numFmtId="0" fontId="28" fillId="0" borderId="0" xfId="3" applyFont="1" applyFill="1" applyBorder="1" applyAlignment="1">
      <alignment horizontal="center" vertical="center"/>
    </xf>
    <xf numFmtId="0" fontId="33" fillId="0" borderId="10" xfId="3" applyFont="1" applyFill="1" applyBorder="1" applyAlignment="1">
      <alignment horizontal="center" vertical="center" wrapText="1"/>
    </xf>
    <xf numFmtId="0" fontId="33" fillId="0" borderId="1" xfId="3" applyFont="1" applyFill="1" applyBorder="1" applyAlignment="1">
      <alignment horizontal="center" vertical="center" wrapText="1"/>
    </xf>
    <xf numFmtId="0" fontId="33" fillId="0" borderId="1" xfId="3" applyFont="1" applyFill="1" applyBorder="1" applyAlignment="1">
      <alignment vertical="center" wrapText="1"/>
    </xf>
    <xf numFmtId="0" fontId="55" fillId="0" borderId="1" xfId="3" applyFont="1" applyFill="1" applyBorder="1" applyAlignment="1">
      <alignment horizontal="center" vertical="center" wrapText="1"/>
    </xf>
    <xf numFmtId="0" fontId="56" fillId="0" borderId="1" xfId="3" applyFont="1" applyFill="1" applyBorder="1" applyAlignment="1">
      <alignment horizontal="center" vertical="center" wrapText="1"/>
    </xf>
    <xf numFmtId="0" fontId="33" fillId="0" borderId="1" xfId="3" applyFont="1" applyFill="1" applyBorder="1" applyAlignment="1">
      <alignment horizontal="center" vertical="center"/>
    </xf>
    <xf numFmtId="0" fontId="55" fillId="0" borderId="1" xfId="3" applyFont="1" applyFill="1" applyBorder="1" applyAlignment="1">
      <alignment horizontal="center" vertical="center"/>
    </xf>
    <xf numFmtId="0" fontId="57" fillId="0" borderId="11" xfId="3" applyFont="1" applyFill="1" applyBorder="1" applyAlignment="1">
      <alignment horizontal="center" vertical="center" wrapText="1"/>
    </xf>
    <xf numFmtId="0" fontId="28" fillId="0" borderId="10" xfId="3" applyFont="1" applyFill="1" applyBorder="1" applyAlignment="1">
      <alignment horizontal="center" vertical="center"/>
    </xf>
    <xf numFmtId="0" fontId="28" fillId="0" borderId="1" xfId="3" applyFont="1" applyFill="1" applyBorder="1" applyAlignment="1">
      <alignment horizontal="center" vertical="center"/>
    </xf>
    <xf numFmtId="0" fontId="28" fillId="0" borderId="11" xfId="3" applyFont="1" applyFill="1" applyBorder="1" applyAlignment="1">
      <alignment horizontal="center" vertical="center"/>
    </xf>
    <xf numFmtId="0" fontId="14" fillId="0" borderId="1" xfId="3" applyFont="1" applyFill="1" applyBorder="1" applyAlignment="1">
      <alignment horizontal="center" vertical="center"/>
    </xf>
    <xf numFmtId="0" fontId="37" fillId="0" borderId="1" xfId="3" applyFont="1" applyFill="1" applyBorder="1" applyAlignment="1">
      <alignment horizontal="center" vertical="center"/>
    </xf>
    <xf numFmtId="0" fontId="37" fillId="0" borderId="11" xfId="3" applyFont="1" applyFill="1" applyBorder="1" applyAlignment="1">
      <alignment horizontal="center" vertical="center"/>
    </xf>
    <xf numFmtId="0" fontId="28" fillId="0" borderId="1" xfId="3" applyFont="1" applyFill="1" applyBorder="1" applyAlignment="1">
      <alignment horizontal="center" vertical="center" wrapText="1"/>
    </xf>
    <xf numFmtId="0" fontId="14" fillId="0" borderId="1" xfId="3" applyFont="1" applyFill="1" applyBorder="1" applyAlignment="1">
      <alignment horizontal="center" vertical="center" wrapText="1"/>
    </xf>
    <xf numFmtId="0" fontId="14" fillId="0" borderId="11" xfId="3" applyFont="1" applyFill="1" applyBorder="1" applyAlignment="1">
      <alignment horizontal="center" vertical="center" wrapText="1"/>
    </xf>
    <xf numFmtId="182" fontId="28" fillId="0" borderId="1" xfId="3" applyNumberFormat="1" applyFont="1" applyFill="1" applyBorder="1" applyAlignment="1">
      <alignment horizontal="center" vertical="center"/>
    </xf>
    <xf numFmtId="179" fontId="28" fillId="0" borderId="1" xfId="3" applyNumberFormat="1" applyFont="1" applyFill="1" applyBorder="1" applyAlignment="1">
      <alignment horizontal="center" vertical="center"/>
    </xf>
    <xf numFmtId="176" fontId="28" fillId="0" borderId="1" xfId="3" applyNumberFormat="1" applyFont="1" applyFill="1" applyBorder="1" applyAlignment="1">
      <alignment horizontal="center" vertical="center"/>
    </xf>
    <xf numFmtId="176" fontId="28" fillId="4" borderId="1" xfId="6" applyNumberFormat="1" applyFont="1" applyFill="1" applyBorder="1" applyAlignment="1" applyProtection="1">
      <alignment horizontal="center" vertical="center"/>
      <protection locked="0"/>
    </xf>
    <xf numFmtId="185" fontId="28" fillId="0" borderId="1" xfId="3" applyNumberFormat="1" applyFont="1" applyFill="1" applyBorder="1" applyAlignment="1">
      <alignment horizontal="center" vertical="center"/>
    </xf>
    <xf numFmtId="176" fontId="28" fillId="0" borderId="11" xfId="3" applyNumberFormat="1" applyFont="1" applyFill="1" applyBorder="1" applyAlignment="1">
      <alignment horizontal="center" vertical="center"/>
    </xf>
    <xf numFmtId="0" fontId="28" fillId="0" borderId="12" xfId="3" applyFont="1" applyFill="1" applyBorder="1" applyAlignment="1">
      <alignment horizontal="center" vertical="center"/>
    </xf>
    <xf numFmtId="0" fontId="28" fillId="0" borderId="5" xfId="3" applyFont="1" applyFill="1" applyBorder="1" applyAlignment="1">
      <alignment horizontal="center" vertical="center"/>
    </xf>
    <xf numFmtId="176" fontId="28" fillId="4" borderId="5" xfId="6" applyNumberFormat="1" applyFont="1" applyFill="1" applyBorder="1" applyAlignment="1" applyProtection="1">
      <alignment horizontal="center" vertical="center"/>
      <protection locked="0"/>
    </xf>
    <xf numFmtId="182" fontId="28" fillId="0" borderId="5" xfId="3" applyNumberFormat="1" applyFont="1" applyFill="1" applyBorder="1" applyAlignment="1">
      <alignment horizontal="center" vertical="center"/>
    </xf>
    <xf numFmtId="179" fontId="28" fillId="0" borderId="5" xfId="3" applyNumberFormat="1" applyFont="1" applyFill="1" applyBorder="1" applyAlignment="1">
      <alignment horizontal="center" vertical="center"/>
    </xf>
    <xf numFmtId="176" fontId="28" fillId="0" borderId="5" xfId="3" applyNumberFormat="1" applyFont="1" applyFill="1" applyBorder="1" applyAlignment="1">
      <alignment horizontal="center" vertical="center"/>
    </xf>
    <xf numFmtId="185" fontId="28" fillId="0" borderId="5" xfId="3" applyNumberFormat="1" applyFont="1" applyFill="1" applyBorder="1" applyAlignment="1">
      <alignment horizontal="center" vertical="center"/>
    </xf>
    <xf numFmtId="176" fontId="28" fillId="0" borderId="13" xfId="3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28" fillId="0" borderId="1" xfId="3" applyFont="1" applyBorder="1" applyAlignment="1">
      <alignment horizontal="center" vertical="center"/>
    </xf>
    <xf numFmtId="0" fontId="5" fillId="0" borderId="1" xfId="3" applyFont="1" applyBorder="1" applyAlignment="1">
      <alignment horizontal="center" vertical="center"/>
    </xf>
    <xf numFmtId="0" fontId="8" fillId="0" borderId="1" xfId="3" applyFont="1" applyBorder="1" applyAlignment="1">
      <alignment horizontal="center" vertical="center"/>
    </xf>
    <xf numFmtId="176" fontId="8" fillId="4" borderId="1" xfId="3" applyNumberFormat="1" applyFont="1" applyFill="1" applyBorder="1" applyAlignment="1" applyProtection="1">
      <alignment horizontal="center" vertical="center"/>
      <protection locked="0"/>
    </xf>
    <xf numFmtId="181" fontId="8" fillId="0" borderId="1" xfId="3" applyNumberFormat="1" applyFont="1" applyBorder="1" applyAlignment="1">
      <alignment horizontal="center" vertical="center"/>
    </xf>
    <xf numFmtId="0" fontId="28" fillId="0" borderId="1" xfId="3" applyFont="1" applyFill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vertical="center"/>
    </xf>
    <xf numFmtId="2" fontId="28" fillId="0" borderId="1" xfId="3" applyNumberFormat="1" applyFont="1" applyFill="1" applyBorder="1" applyAlignment="1">
      <alignment horizontal="center" vertical="center"/>
    </xf>
    <xf numFmtId="0" fontId="28" fillId="0" borderId="1" xfId="0" applyFont="1" applyBorder="1" applyAlignment="1">
      <alignment horizontal="left" vertical="center"/>
    </xf>
    <xf numFmtId="0" fontId="28" fillId="0" borderId="1" xfId="3" applyFont="1" applyBorder="1" applyAlignment="1">
      <alignment horizontal="left" vertical="center"/>
    </xf>
    <xf numFmtId="178" fontId="8" fillId="4" borderId="1" xfId="3" applyNumberFormat="1" applyFont="1" applyFill="1" applyBorder="1" applyAlignment="1" applyProtection="1">
      <alignment horizontal="center" vertical="center"/>
      <protection locked="0"/>
    </xf>
    <xf numFmtId="0" fontId="58" fillId="7" borderId="1" xfId="0" applyFont="1" applyFill="1" applyBorder="1" applyAlignment="1">
      <alignment vertical="center"/>
    </xf>
    <xf numFmtId="0" fontId="39" fillId="0" borderId="1" xfId="0" applyFont="1" applyBorder="1" applyAlignment="1">
      <alignment vertical="center"/>
    </xf>
    <xf numFmtId="2" fontId="0" fillId="3" borderId="1" xfId="0" applyNumberFormat="1" applyFill="1" applyBorder="1" applyAlignment="1">
      <alignment vertical="center"/>
    </xf>
    <xf numFmtId="2" fontId="5" fillId="0" borderId="1" xfId="0" applyNumberFormat="1" applyFont="1" applyBorder="1" applyAlignment="1">
      <alignment vertical="center"/>
    </xf>
    <xf numFmtId="2" fontId="0" fillId="0" borderId="1" xfId="0" applyNumberFormat="1" applyBorder="1" applyAlignment="1">
      <alignment vertical="center"/>
    </xf>
    <xf numFmtId="176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186" fontId="12" fillId="0" borderId="1" xfId="0" applyNumberFormat="1" applyFont="1" applyBorder="1" applyAlignment="1">
      <alignment horizontal="center" vertical="center"/>
    </xf>
    <xf numFmtId="9" fontId="0" fillId="0" borderId="1" xfId="0" applyNumberFormat="1" applyBorder="1" applyAlignment="1">
      <alignment vertical="center"/>
    </xf>
    <xf numFmtId="0" fontId="60" fillId="0" borderId="0" xfId="0" applyFont="1"/>
    <xf numFmtId="0" fontId="0" fillId="0" borderId="1" xfId="0" applyBorder="1" applyAlignment="1">
      <alignment horizontal="center" vertical="center"/>
    </xf>
    <xf numFmtId="49" fontId="43" fillId="0" borderId="6" xfId="0" applyNumberFormat="1" applyFont="1" applyBorder="1" applyAlignment="1">
      <alignment horizontal="center" vertical="center"/>
    </xf>
    <xf numFmtId="0" fontId="0" fillId="0" borderId="17" xfId="0" applyBorder="1" applyAlignment="1">
      <alignment vertical="center"/>
    </xf>
    <xf numFmtId="0" fontId="43" fillId="0" borderId="17" xfId="0" applyFont="1" applyBorder="1" applyAlignment="1">
      <alignment vertical="center"/>
    </xf>
    <xf numFmtId="0" fontId="11" fillId="0" borderId="17" xfId="0" applyFont="1" applyBorder="1" applyAlignment="1">
      <alignment vertical="center"/>
    </xf>
    <xf numFmtId="176" fontId="43" fillId="0" borderId="17" xfId="0" applyNumberFormat="1" applyFont="1" applyBorder="1" applyAlignment="1">
      <alignment horizontal="center" vertical="center"/>
    </xf>
    <xf numFmtId="177" fontId="43" fillId="0" borderId="1" xfId="0" applyNumberFormat="1" applyFont="1" applyFill="1" applyBorder="1" applyAlignment="1">
      <alignment horizontal="center" vertical="center"/>
    </xf>
    <xf numFmtId="0" fontId="61" fillId="0" borderId="1" xfId="0" applyFont="1" applyBorder="1" applyAlignment="1">
      <alignment horizontal="right" vertical="center"/>
    </xf>
    <xf numFmtId="176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4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58" fontId="0" fillId="0" borderId="0" xfId="0" applyNumberFormat="1"/>
    <xf numFmtId="176" fontId="0" fillId="0" borderId="8" xfId="0" applyNumberFormat="1" applyBorder="1" applyAlignment="1">
      <alignment horizontal="center" vertical="center"/>
    </xf>
    <xf numFmtId="178" fontId="12" fillId="6" borderId="1" xfId="0" applyNumberFormat="1" applyFont="1" applyFill="1" applyBorder="1" applyAlignment="1">
      <alignment horizontal="center" vertical="center"/>
    </xf>
    <xf numFmtId="176" fontId="12" fillId="6" borderId="1" xfId="0" applyNumberFormat="1" applyFont="1" applyFill="1" applyBorder="1" applyAlignment="1">
      <alignment horizontal="center" vertical="center"/>
    </xf>
    <xf numFmtId="176" fontId="2" fillId="6" borderId="1" xfId="0" applyNumberFormat="1" applyFont="1" applyFill="1" applyBorder="1" applyAlignment="1">
      <alignment horizontal="center" vertical="center"/>
    </xf>
    <xf numFmtId="0" fontId="41" fillId="0" borderId="0" xfId="0" applyFont="1" applyBorder="1" applyAlignment="1">
      <alignment vertical="center"/>
    </xf>
    <xf numFmtId="0" fontId="62" fillId="0" borderId="0" xfId="0" applyFont="1" applyBorder="1" applyAlignment="1">
      <alignment vertical="center"/>
    </xf>
    <xf numFmtId="186" fontId="0" fillId="0" borderId="1" xfId="0" applyNumberFormat="1" applyBorder="1"/>
    <xf numFmtId="0" fontId="63" fillId="0" borderId="0" xfId="0" applyFont="1"/>
    <xf numFmtId="176" fontId="0" fillId="0" borderId="1" xfId="0" applyNumberFormat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0" fontId="0" fillId="7" borderId="0" xfId="0" applyFill="1"/>
    <xf numFmtId="0" fontId="0" fillId="7" borderId="0" xfId="0" applyFill="1" applyAlignment="1">
      <alignment horizontal="center" vertical="center"/>
    </xf>
    <xf numFmtId="0" fontId="0" fillId="12" borderId="0" xfId="0" applyFill="1" applyAlignment="1">
      <alignment horizontal="center" vertical="center"/>
    </xf>
    <xf numFmtId="0" fontId="0" fillId="0" borderId="0" xfId="0" applyAlignment="1">
      <alignment horizontal="center"/>
    </xf>
    <xf numFmtId="0" fontId="0" fillId="7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0" fillId="14" borderId="0" xfId="0" applyFill="1" applyAlignment="1">
      <alignment horizontal="center" vertical="center"/>
    </xf>
    <xf numFmtId="0" fontId="0" fillId="12" borderId="0" xfId="0" applyFill="1"/>
    <xf numFmtId="0" fontId="0" fillId="7" borderId="0" xfId="0" applyFill="1" applyBorder="1" applyAlignment="1">
      <alignment vertical="center"/>
    </xf>
    <xf numFmtId="0" fontId="0" fillId="12" borderId="0" xfId="0" applyFill="1" applyBorder="1" applyAlignment="1">
      <alignment vertical="center"/>
    </xf>
    <xf numFmtId="0" fontId="0" fillId="13" borderId="0" xfId="0" applyFill="1" applyBorder="1" applyAlignment="1">
      <alignment vertical="center"/>
    </xf>
    <xf numFmtId="178" fontId="0" fillId="7" borderId="1" xfId="0" applyNumberFormat="1" applyFill="1" applyBorder="1" applyAlignment="1">
      <alignment vertical="center"/>
    </xf>
    <xf numFmtId="0" fontId="8" fillId="12" borderId="2" xfId="0" applyFont="1" applyFill="1" applyBorder="1" applyAlignment="1">
      <alignment horizontal="left" vertical="center"/>
    </xf>
    <xf numFmtId="0" fontId="8" fillId="7" borderId="2" xfId="0" applyFont="1" applyFill="1" applyBorder="1" applyAlignment="1">
      <alignment horizontal="left" vertical="center"/>
    </xf>
    <xf numFmtId="0" fontId="64" fillId="12" borderId="0" xfId="0" applyFont="1" applyFill="1"/>
    <xf numFmtId="0" fontId="8" fillId="13" borderId="2" xfId="0" applyFont="1" applyFill="1" applyBorder="1" applyAlignment="1">
      <alignment horizontal="left" vertical="center"/>
    </xf>
    <xf numFmtId="0" fontId="0" fillId="0" borderId="2" xfId="0" applyFill="1" applyBorder="1" applyAlignment="1">
      <alignment vertical="center"/>
    </xf>
    <xf numFmtId="0" fontId="0" fillId="7" borderId="2" xfId="0" applyFill="1" applyBorder="1" applyAlignment="1">
      <alignment vertical="center"/>
    </xf>
    <xf numFmtId="178" fontId="12" fillId="13" borderId="1" xfId="0" applyNumberFormat="1" applyFont="1" applyFill="1" applyBorder="1" applyAlignment="1">
      <alignment horizontal="center" vertical="center"/>
    </xf>
    <xf numFmtId="0" fontId="0" fillId="13" borderId="2" xfId="0" applyFill="1" applyBorder="1" applyAlignment="1">
      <alignment vertical="center"/>
    </xf>
    <xf numFmtId="0" fontId="0" fillId="12" borderId="2" xfId="0" applyFill="1" applyBorder="1" applyAlignment="1">
      <alignment horizontal="left" vertical="center"/>
    </xf>
    <xf numFmtId="0" fontId="0" fillId="13" borderId="2" xfId="0" applyFill="1" applyBorder="1" applyAlignment="1">
      <alignment horizontal="left" vertical="center"/>
    </xf>
    <xf numFmtId="0" fontId="0" fillId="12" borderId="0" xfId="0" applyFill="1" applyBorder="1" applyAlignment="1">
      <alignment horizontal="left" vertical="center"/>
    </xf>
    <xf numFmtId="0" fontId="0" fillId="7" borderId="2" xfId="0" applyFill="1" applyBorder="1" applyAlignment="1">
      <alignment horizontal="center" vertical="center"/>
    </xf>
    <xf numFmtId="0" fontId="5" fillId="7" borderId="2" xfId="6" applyFont="1" applyFill="1" applyBorder="1" applyAlignment="1">
      <alignment horizontal="center" vertical="center"/>
    </xf>
    <xf numFmtId="0" fontId="0" fillId="7" borderId="1" xfId="0" applyFill="1" applyBorder="1" applyAlignment="1">
      <alignment horizontal="left" vertical="center"/>
    </xf>
    <xf numFmtId="0" fontId="8" fillId="7" borderId="1" xfId="3" applyFont="1" applyFill="1" applyBorder="1" applyAlignment="1">
      <alignment vertical="center"/>
    </xf>
    <xf numFmtId="0" fontId="0" fillId="7" borderId="1" xfId="0" applyFill="1" applyBorder="1" applyAlignment="1">
      <alignment vertical="center"/>
    </xf>
    <xf numFmtId="0" fontId="0" fillId="0" borderId="0" xfId="0" applyFill="1"/>
    <xf numFmtId="0" fontId="5" fillId="7" borderId="1" xfId="0" applyFont="1" applyFill="1" applyBorder="1" applyAlignment="1">
      <alignment horizontal="left" vertical="center"/>
    </xf>
    <xf numFmtId="0" fontId="8" fillId="7" borderId="1" xfId="0" applyFont="1" applyFill="1" applyBorder="1" applyAlignment="1">
      <alignment horizontal="left" vertical="center"/>
    </xf>
    <xf numFmtId="0" fontId="24" fillId="7" borderId="1" xfId="0" applyFont="1" applyFill="1" applyBorder="1" applyAlignment="1">
      <alignment horizontal="left" vertical="center"/>
    </xf>
    <xf numFmtId="0" fontId="0" fillId="7" borderId="1" xfId="0" applyFill="1" applyBorder="1"/>
    <xf numFmtId="0" fontId="12" fillId="7" borderId="1" xfId="0" applyFont="1" applyFill="1" applyBorder="1"/>
    <xf numFmtId="176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/>
    </xf>
    <xf numFmtId="4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41" fillId="0" borderId="6" xfId="0" applyFont="1" applyBorder="1" applyAlignment="1">
      <alignment horizontal="left" vertical="center"/>
    </xf>
    <xf numFmtId="0" fontId="41" fillId="0" borderId="7" xfId="0" applyFont="1" applyBorder="1" applyAlignment="1">
      <alignment horizontal="left" vertical="center"/>
    </xf>
    <xf numFmtId="0" fontId="41" fillId="0" borderId="8" xfId="0" applyFont="1" applyBorder="1" applyAlignment="1">
      <alignment horizontal="left" vertical="center"/>
    </xf>
    <xf numFmtId="0" fontId="41" fillId="0" borderId="9" xfId="0" applyFont="1" applyBorder="1" applyAlignment="1">
      <alignment horizontal="left" vertical="center"/>
    </xf>
    <xf numFmtId="0" fontId="41" fillId="9" borderId="6" xfId="0" applyFont="1" applyFill="1" applyBorder="1" applyAlignment="1">
      <alignment horizontal="center" vertical="center"/>
    </xf>
    <xf numFmtId="0" fontId="41" fillId="9" borderId="7" xfId="0" applyFont="1" applyFill="1" applyBorder="1" applyAlignment="1">
      <alignment horizontal="center" vertical="center"/>
    </xf>
    <xf numFmtId="0" fontId="41" fillId="9" borderId="8" xfId="0" applyFont="1" applyFill="1" applyBorder="1" applyAlignment="1">
      <alignment horizontal="center" vertical="center"/>
    </xf>
    <xf numFmtId="0" fontId="41" fillId="9" borderId="6" xfId="0" applyFont="1" applyFill="1" applyBorder="1" applyAlignment="1">
      <alignment horizontal="left" vertical="center"/>
    </xf>
    <xf numFmtId="0" fontId="41" fillId="9" borderId="7" xfId="0" applyFont="1" applyFill="1" applyBorder="1" applyAlignment="1">
      <alignment horizontal="left" vertical="center"/>
    </xf>
    <xf numFmtId="0" fontId="41" fillId="9" borderId="8" xfId="0" applyFont="1" applyFill="1" applyBorder="1" applyAlignment="1">
      <alignment horizontal="left" vertical="center"/>
    </xf>
    <xf numFmtId="0" fontId="44" fillId="9" borderId="1" xfId="0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6" xfId="0" applyBorder="1" applyAlignment="1">
      <alignment horizontal="left" vertical="center"/>
    </xf>
    <xf numFmtId="0" fontId="0" fillId="0" borderId="7" xfId="0" applyBorder="1" applyAlignment="1">
      <alignment horizontal="left" vertical="center"/>
    </xf>
    <xf numFmtId="0" fontId="0" fillId="0" borderId="8" xfId="0" applyBorder="1" applyAlignment="1">
      <alignment horizontal="left" vertical="center"/>
    </xf>
    <xf numFmtId="0" fontId="13" fillId="0" borderId="6" xfId="0" applyFont="1" applyBorder="1" applyAlignment="1">
      <alignment horizontal="left" vertical="center"/>
    </xf>
    <xf numFmtId="0" fontId="13" fillId="0" borderId="7" xfId="0" applyFont="1" applyBorder="1" applyAlignment="1">
      <alignment horizontal="left" vertical="center"/>
    </xf>
    <xf numFmtId="0" fontId="13" fillId="0" borderId="8" xfId="0" applyFont="1" applyBorder="1" applyAlignment="1">
      <alignment horizontal="left" vertical="center"/>
    </xf>
    <xf numFmtId="0" fontId="41" fillId="0" borderId="0" xfId="0" applyFont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2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12" fillId="7" borderId="1" xfId="0" applyFont="1" applyFill="1" applyBorder="1" applyAlignment="1">
      <alignment horizontal="center"/>
    </xf>
    <xf numFmtId="0" fontId="54" fillId="11" borderId="15" xfId="6" applyFont="1" applyFill="1" applyBorder="1" applyAlignment="1">
      <alignment horizontal="center" vertical="center"/>
    </xf>
    <xf numFmtId="0" fontId="54" fillId="11" borderId="14" xfId="6" applyFont="1" applyFill="1" applyBorder="1" applyAlignment="1">
      <alignment horizontal="center" vertical="center"/>
    </xf>
    <xf numFmtId="0" fontId="54" fillId="11" borderId="16" xfId="6" applyFont="1" applyFill="1" applyBorder="1" applyAlignment="1">
      <alignment horizontal="center" vertical="center"/>
    </xf>
    <xf numFmtId="1" fontId="59" fillId="0" borderId="1" xfId="0" applyNumberFormat="1" applyFont="1" applyFill="1" applyBorder="1" applyAlignment="1">
      <alignment horizontal="center" vertical="center"/>
    </xf>
    <xf numFmtId="0" fontId="74" fillId="0" borderId="21" xfId="0" applyFont="1" applyBorder="1" applyAlignment="1">
      <alignment horizontal="center" vertical="center" wrapText="1"/>
    </xf>
    <xf numFmtId="0" fontId="74" fillId="0" borderId="22" xfId="0" applyFont="1" applyBorder="1" applyAlignment="1">
      <alignment horizontal="center" vertical="center" wrapText="1"/>
    </xf>
    <xf numFmtId="0" fontId="74" fillId="0" borderId="23" xfId="0" applyFont="1" applyBorder="1" applyAlignment="1">
      <alignment horizontal="center" vertical="center" wrapText="1"/>
    </xf>
    <xf numFmtId="0" fontId="77" fillId="0" borderId="22" xfId="0" applyFont="1" applyBorder="1" applyAlignment="1">
      <alignment horizontal="center" vertical="center" wrapText="1"/>
    </xf>
    <xf numFmtId="0" fontId="74" fillId="0" borderId="24" xfId="0" applyFont="1" applyBorder="1" applyAlignment="1">
      <alignment horizontal="center" vertical="center" wrapText="1"/>
    </xf>
    <xf numFmtId="0" fontId="74" fillId="0" borderId="20" xfId="0" applyFont="1" applyBorder="1" applyAlignment="1">
      <alignment horizontal="center" vertical="center" wrapText="1"/>
    </xf>
    <xf numFmtId="0" fontId="74" fillId="0" borderId="19" xfId="0" applyFont="1" applyBorder="1" applyAlignment="1">
      <alignment horizontal="center" vertical="center" wrapText="1"/>
    </xf>
    <xf numFmtId="0" fontId="74" fillId="0" borderId="25" xfId="0" applyFont="1" applyBorder="1" applyAlignment="1">
      <alignment horizontal="center" vertical="center" wrapText="1"/>
    </xf>
    <xf numFmtId="0" fontId="74" fillId="0" borderId="22" xfId="0" applyFont="1" applyBorder="1" applyAlignment="1">
      <alignment horizontal="center" vertical="center" wrapText="1"/>
    </xf>
    <xf numFmtId="0" fontId="78" fillId="0" borderId="30" xfId="0" applyFont="1" applyBorder="1" applyAlignment="1">
      <alignment horizontal="center"/>
    </xf>
    <xf numFmtId="0" fontId="80" fillId="0" borderId="31" xfId="0" applyFont="1" applyBorder="1" applyAlignment="1">
      <alignment horizontal="center"/>
    </xf>
    <xf numFmtId="0" fontId="80" fillId="0" borderId="32" xfId="0" applyFont="1" applyBorder="1" applyAlignment="1">
      <alignment horizontal="center"/>
    </xf>
    <xf numFmtId="0" fontId="81" fillId="0" borderId="27" xfId="0" applyFont="1" applyBorder="1" applyAlignment="1"/>
    <xf numFmtId="0" fontId="80" fillId="0" borderId="28" xfId="0" applyFont="1" applyBorder="1" applyAlignment="1"/>
    <xf numFmtId="0" fontId="80" fillId="0" borderId="29" xfId="0" applyFont="1" applyBorder="1" applyAlignment="1"/>
    <xf numFmtId="0" fontId="83" fillId="0" borderId="24" xfId="0" applyFont="1" applyBorder="1" applyAlignment="1">
      <alignment horizontal="center" vertical="center" wrapText="1"/>
    </xf>
    <xf numFmtId="0" fontId="83" fillId="0" borderId="20" xfId="0" applyFont="1" applyBorder="1" applyAlignment="1">
      <alignment horizontal="center" vertical="center" wrapText="1"/>
    </xf>
    <xf numFmtId="0" fontId="83" fillId="0" borderId="19" xfId="0" applyFont="1" applyBorder="1" applyAlignment="1">
      <alignment horizontal="center" vertical="center" wrapText="1"/>
    </xf>
    <xf numFmtId="0" fontId="5" fillId="0" borderId="0" xfId="2">
      <alignment vertical="center"/>
    </xf>
    <xf numFmtId="176" fontId="5" fillId="15" borderId="1" xfId="2" applyNumberFormat="1" applyFill="1" applyBorder="1" applyAlignment="1">
      <alignment horizontal="center" vertical="center"/>
    </xf>
    <xf numFmtId="0" fontId="5" fillId="15" borderId="1" xfId="2" applyFill="1" applyBorder="1" applyAlignment="1">
      <alignment horizontal="center" vertical="center" wrapText="1"/>
    </xf>
    <xf numFmtId="0" fontId="5" fillId="15" borderId="1" xfId="2" applyFill="1" applyBorder="1" applyAlignment="1">
      <alignment horizontal="center" vertical="center" wrapText="1"/>
    </xf>
    <xf numFmtId="0" fontId="5" fillId="0" borderId="1" xfId="2" applyFill="1" applyBorder="1" applyAlignment="1">
      <alignment horizontal="center" vertical="center" wrapText="1"/>
    </xf>
    <xf numFmtId="0" fontId="5" fillId="0" borderId="1" xfId="2" applyBorder="1" applyAlignment="1">
      <alignment horizontal="center" vertical="center"/>
    </xf>
    <xf numFmtId="176" fontId="5" fillId="15" borderId="1" xfId="2" applyNumberFormat="1" applyFill="1" applyBorder="1" applyAlignment="1">
      <alignment horizontal="center" vertical="center" wrapText="1"/>
    </xf>
    <xf numFmtId="176" fontId="5" fillId="16" borderId="1" xfId="2" applyNumberFormat="1" applyFill="1" applyBorder="1" applyAlignment="1">
      <alignment horizontal="center" vertical="center" wrapText="1"/>
    </xf>
    <xf numFmtId="0" fontId="5" fillId="0" borderId="1" xfId="2" applyBorder="1" applyAlignment="1">
      <alignment horizontal="center" vertical="center" wrapText="1"/>
    </xf>
    <xf numFmtId="0" fontId="5" fillId="0" borderId="1" xfId="2" applyBorder="1" applyAlignment="1">
      <alignment horizontal="center" vertical="center"/>
    </xf>
    <xf numFmtId="178" fontId="5" fillId="0" borderId="1" xfId="2" applyNumberFormat="1" applyBorder="1" applyAlignment="1">
      <alignment horizontal="center" vertical="center" wrapText="1"/>
    </xf>
    <xf numFmtId="176" fontId="5" fillId="16" borderId="1" xfId="2" applyNumberFormat="1" applyFill="1" applyBorder="1" applyAlignment="1">
      <alignment horizontal="center" vertical="center"/>
    </xf>
    <xf numFmtId="0" fontId="5" fillId="17" borderId="1" xfId="2" applyFill="1" applyBorder="1" applyAlignment="1">
      <alignment horizontal="center" vertical="center"/>
    </xf>
    <xf numFmtId="0" fontId="13" fillId="0" borderId="0" xfId="2" applyFont="1">
      <alignment vertical="center"/>
    </xf>
    <xf numFmtId="0" fontId="5" fillId="0" borderId="1" xfId="2" applyBorder="1">
      <alignment vertical="center"/>
    </xf>
    <xf numFmtId="0" fontId="5" fillId="3" borderId="1" xfId="2" applyFill="1" applyBorder="1">
      <alignment vertical="center"/>
    </xf>
    <xf numFmtId="0" fontId="5" fillId="16" borderId="1" xfId="2" applyFont="1" applyFill="1" applyBorder="1">
      <alignment vertical="center"/>
    </xf>
    <xf numFmtId="0" fontId="5" fillId="18" borderId="1" xfId="2" applyFill="1" applyBorder="1">
      <alignment vertical="center"/>
    </xf>
    <xf numFmtId="0" fontId="11" fillId="0" borderId="1" xfId="2" applyFont="1" applyBorder="1">
      <alignment vertical="center"/>
    </xf>
    <xf numFmtId="0" fontId="5" fillId="0" borderId="1" xfId="2" applyBorder="1" applyAlignment="1">
      <alignment vertical="center" wrapText="1"/>
    </xf>
    <xf numFmtId="10" fontId="5" fillId="0" borderId="1" xfId="2" applyNumberFormat="1" applyBorder="1">
      <alignment vertical="center"/>
    </xf>
    <xf numFmtId="178" fontId="5" fillId="3" borderId="1" xfId="2" applyNumberFormat="1" applyFill="1" applyBorder="1" applyAlignment="1">
      <alignment horizontal="center" vertical="center"/>
    </xf>
    <xf numFmtId="179" fontId="5" fillId="0" borderId="1" xfId="2" applyNumberFormat="1" applyBorder="1">
      <alignment vertical="center"/>
    </xf>
    <xf numFmtId="0" fontId="43" fillId="0" borderId="1" xfId="2" applyFont="1" applyBorder="1" applyAlignment="1">
      <alignment vertical="center" shrinkToFit="1"/>
    </xf>
    <xf numFmtId="0" fontId="88" fillId="11" borderId="1" xfId="2" applyFont="1" applyFill="1" applyBorder="1" applyAlignment="1">
      <alignment horizontal="center" vertical="center"/>
    </xf>
    <xf numFmtId="0" fontId="74" fillId="0" borderId="33" xfId="0" applyFont="1" applyBorder="1" applyAlignment="1">
      <alignment horizontal="center" vertical="center" wrapText="1"/>
    </xf>
    <xf numFmtId="0" fontId="74" fillId="0" borderId="34" xfId="0" applyFont="1" applyBorder="1" applyAlignment="1">
      <alignment horizontal="center" vertical="center" wrapText="1"/>
    </xf>
    <xf numFmtId="0" fontId="74" fillId="0" borderId="35" xfId="0" applyFont="1" applyBorder="1" applyAlignment="1">
      <alignment horizontal="center" vertical="center" wrapText="1"/>
    </xf>
    <xf numFmtId="0" fontId="74" fillId="0" borderId="30" xfId="0" applyFont="1" applyBorder="1" applyAlignment="1">
      <alignment horizontal="center" vertical="center" wrapText="1"/>
    </xf>
    <xf numFmtId="0" fontId="74" fillId="0" borderId="36" xfId="0" applyFont="1" applyBorder="1" applyAlignment="1">
      <alignment horizontal="center" vertical="center" wrapText="1"/>
    </xf>
    <xf numFmtId="0" fontId="74" fillId="0" borderId="37" xfId="0" applyFont="1" applyBorder="1" applyAlignment="1">
      <alignment horizontal="center" vertical="center" wrapText="1"/>
    </xf>
    <xf numFmtId="0" fontId="74" fillId="0" borderId="26" xfId="0" applyFont="1" applyBorder="1" applyAlignment="1">
      <alignment horizontal="center" vertical="center" wrapText="1"/>
    </xf>
    <xf numFmtId="0" fontId="74" fillId="0" borderId="17" xfId="0" applyFont="1" applyBorder="1" applyAlignment="1">
      <alignment horizontal="center" vertical="center" wrapText="1"/>
    </xf>
    <xf numFmtId="0" fontId="74" fillId="0" borderId="39" xfId="0" applyFont="1" applyBorder="1" applyAlignment="1">
      <alignment horizontal="center" vertical="center" wrapText="1"/>
    </xf>
    <xf numFmtId="0" fontId="74" fillId="0" borderId="2" xfId="0" applyFont="1" applyBorder="1" applyAlignment="1">
      <alignment horizontal="center" vertical="center" wrapText="1"/>
    </xf>
    <xf numFmtId="0" fontId="83" fillId="0" borderId="21" xfId="0" applyFont="1" applyBorder="1" applyAlignment="1">
      <alignment horizontal="center" vertical="center" wrapText="1"/>
    </xf>
    <xf numFmtId="0" fontId="83" fillId="0" borderId="22" xfId="0" applyFont="1" applyBorder="1" applyAlignment="1">
      <alignment horizontal="center" vertical="center" wrapText="1"/>
    </xf>
    <xf numFmtId="181" fontId="0" fillId="13" borderId="1" xfId="0" applyNumberFormat="1" applyFill="1" applyBorder="1" applyAlignment="1">
      <alignment horizontal="center" vertical="center"/>
    </xf>
    <xf numFmtId="0" fontId="43" fillId="0" borderId="1" xfId="2" applyFont="1" applyBorder="1">
      <alignment vertical="center"/>
    </xf>
    <xf numFmtId="0" fontId="11" fillId="0" borderId="1" xfId="2" applyFont="1" applyFill="1" applyBorder="1">
      <alignment vertical="center"/>
    </xf>
    <xf numFmtId="176" fontId="5" fillId="0" borderId="1" xfId="2" applyNumberFormat="1" applyBorder="1">
      <alignment vertical="center"/>
    </xf>
    <xf numFmtId="176" fontId="13" fillId="0" borderId="1" xfId="2" applyNumberFormat="1" applyFont="1" applyBorder="1">
      <alignment vertical="center"/>
    </xf>
    <xf numFmtId="0" fontId="50" fillId="0" borderId="1" xfId="2" applyFont="1" applyBorder="1" applyAlignment="1">
      <alignment horizontal="center" vertical="center"/>
    </xf>
    <xf numFmtId="0" fontId="87" fillId="0" borderId="1" xfId="2" applyFont="1" applyBorder="1" applyAlignment="1">
      <alignment horizontal="center" vertical="center"/>
    </xf>
    <xf numFmtId="179" fontId="50" fillId="3" borderId="1" xfId="2" applyNumberFormat="1" applyFont="1" applyFill="1" applyBorder="1" applyAlignment="1">
      <alignment horizontal="center" vertical="center"/>
    </xf>
    <xf numFmtId="0" fontId="5" fillId="7" borderId="0" xfId="2" applyFont="1" applyFill="1">
      <alignment vertical="center"/>
    </xf>
    <xf numFmtId="0" fontId="50" fillId="3" borderId="1" xfId="2" applyFont="1" applyFill="1" applyBorder="1" applyAlignment="1">
      <alignment horizontal="center" vertical="center"/>
    </xf>
    <xf numFmtId="184" fontId="50" fillId="3" borderId="1" xfId="2" applyNumberFormat="1" applyFont="1" applyFill="1" applyBorder="1" applyAlignment="1">
      <alignment horizontal="center" vertical="center"/>
    </xf>
    <xf numFmtId="0" fontId="5" fillId="0" borderId="0" xfId="2" applyFont="1">
      <alignment vertical="center"/>
    </xf>
    <xf numFmtId="176" fontId="50" fillId="0" borderId="1" xfId="2" applyNumberFormat="1" applyFont="1" applyFill="1" applyBorder="1" applyAlignment="1">
      <alignment horizontal="center" vertical="center"/>
    </xf>
    <xf numFmtId="0" fontId="5" fillId="12" borderId="0" xfId="2" applyFont="1" applyFill="1">
      <alignment vertical="center"/>
    </xf>
    <xf numFmtId="0" fontId="5" fillId="7" borderId="0" xfId="2" applyFont="1" applyFill="1" applyBorder="1">
      <alignment vertical="center"/>
    </xf>
    <xf numFmtId="0" fontId="50" fillId="0" borderId="1" xfId="2" applyFont="1" applyBorder="1" applyAlignment="1">
      <alignment horizontal="center" vertical="center" wrapText="1"/>
    </xf>
    <xf numFmtId="0" fontId="5" fillId="19" borderId="0" xfId="2" applyFont="1" applyFill="1" applyBorder="1">
      <alignment vertical="center"/>
    </xf>
    <xf numFmtId="176" fontId="89" fillId="0" borderId="1" xfId="2" applyNumberFormat="1" applyFont="1" applyFill="1" applyBorder="1" applyAlignment="1">
      <alignment horizontal="center" vertical="center"/>
    </xf>
    <xf numFmtId="0" fontId="5" fillId="12" borderId="0" xfId="2" applyFont="1" applyFill="1" applyBorder="1">
      <alignment vertical="center"/>
    </xf>
    <xf numFmtId="0" fontId="5" fillId="0" borderId="0" xfId="2" applyFont="1" applyFill="1" applyBorder="1">
      <alignment vertical="center"/>
    </xf>
    <xf numFmtId="0" fontId="89" fillId="8" borderId="1" xfId="2" applyFont="1" applyFill="1" applyBorder="1" applyAlignment="1">
      <alignment horizontal="center" vertical="center" wrapText="1"/>
    </xf>
    <xf numFmtId="0" fontId="90" fillId="8" borderId="6" xfId="2" applyFont="1" applyFill="1" applyBorder="1" applyAlignment="1">
      <alignment horizontal="center" vertical="center"/>
    </xf>
    <xf numFmtId="0" fontId="90" fillId="8" borderId="7" xfId="2" applyFont="1" applyFill="1" applyBorder="1" applyAlignment="1">
      <alignment horizontal="center" vertical="center"/>
    </xf>
    <xf numFmtId="0" fontId="90" fillId="8" borderId="8" xfId="2" applyFont="1" applyFill="1" applyBorder="1" applyAlignment="1">
      <alignment horizontal="center" vertical="center"/>
    </xf>
    <xf numFmtId="0" fontId="5" fillId="0" borderId="1" xfId="2" applyFill="1" applyBorder="1" applyAlignment="1">
      <alignment vertical="center" textRotation="90" readingOrder="1"/>
    </xf>
    <xf numFmtId="0" fontId="50" fillId="0" borderId="1" xfId="2" applyFont="1" applyFill="1" applyBorder="1" applyAlignment="1">
      <alignment horizontal="center" vertical="center"/>
    </xf>
    <xf numFmtId="0" fontId="87" fillId="0" borderId="1" xfId="2" applyFont="1" applyFill="1" applyBorder="1" applyAlignment="1">
      <alignment horizontal="center" vertical="center"/>
    </xf>
    <xf numFmtId="0" fontId="5" fillId="3" borderId="1" xfId="2" applyFont="1" applyFill="1" applyBorder="1" applyAlignment="1">
      <alignment horizontal="center" vertical="center"/>
    </xf>
    <xf numFmtId="0" fontId="50" fillId="0" borderId="1" xfId="2" applyFont="1" applyFill="1" applyBorder="1" applyAlignment="1">
      <alignment horizontal="center" vertical="center" wrapText="1"/>
    </xf>
    <xf numFmtId="0" fontId="5" fillId="0" borderId="1" xfId="2" applyFill="1" applyBorder="1" applyAlignment="1">
      <alignment horizontal="center" vertical="center"/>
    </xf>
    <xf numFmtId="176" fontId="13" fillId="0" borderId="1" xfId="2" applyNumberFormat="1" applyFont="1" applyFill="1" applyBorder="1" applyAlignment="1">
      <alignment horizontal="center" vertical="center"/>
    </xf>
    <xf numFmtId="9" fontId="5" fillId="0" borderId="1" xfId="2" applyNumberFormat="1" applyFill="1" applyBorder="1" applyAlignment="1">
      <alignment horizontal="center" vertical="center"/>
    </xf>
    <xf numFmtId="0" fontId="50" fillId="0" borderId="1" xfId="2" applyFont="1" applyFill="1" applyBorder="1" applyAlignment="1">
      <alignment horizontal="left" vertical="center"/>
    </xf>
    <xf numFmtId="182" fontId="5" fillId="0" borderId="1" xfId="2" applyNumberFormat="1" applyFill="1" applyBorder="1" applyAlignment="1">
      <alignment horizontal="center" vertical="center"/>
    </xf>
    <xf numFmtId="179" fontId="13" fillId="0" borderId="1" xfId="2" applyNumberFormat="1" applyFont="1" applyFill="1" applyBorder="1" applyAlignment="1">
      <alignment horizontal="center" vertical="center"/>
    </xf>
    <xf numFmtId="0" fontId="5" fillId="0" borderId="0" xfId="2" applyAlignment="1">
      <alignment horizontal="center" vertical="center"/>
    </xf>
    <xf numFmtId="0" fontId="87" fillId="0" borderId="10" xfId="2" applyFont="1" applyFill="1" applyBorder="1" applyAlignment="1">
      <alignment horizontal="center" vertical="center"/>
    </xf>
    <xf numFmtId="0" fontId="5" fillId="3" borderId="11" xfId="2" applyFont="1" applyFill="1" applyBorder="1" applyAlignment="1">
      <alignment horizontal="left" vertical="center"/>
    </xf>
    <xf numFmtId="0" fontId="5" fillId="3" borderId="11" xfId="2" applyFill="1" applyBorder="1" applyAlignment="1">
      <alignment horizontal="left" vertical="center"/>
    </xf>
    <xf numFmtId="0" fontId="5" fillId="0" borderId="11" xfId="2" applyFill="1" applyBorder="1" applyAlignment="1">
      <alignment horizontal="left" vertical="center"/>
    </xf>
    <xf numFmtId="176" fontId="5" fillId="3" borderId="11" xfId="2" applyNumberFormat="1" applyFill="1" applyBorder="1" applyAlignment="1">
      <alignment horizontal="left" vertical="center"/>
    </xf>
    <xf numFmtId="0" fontId="13" fillId="0" borderId="11" xfId="2" applyFont="1" applyFill="1" applyBorder="1" applyAlignment="1">
      <alignment horizontal="left" vertical="center"/>
    </xf>
    <xf numFmtId="0" fontId="87" fillId="0" borderId="40" xfId="2" applyFont="1" applyFill="1" applyBorder="1" applyAlignment="1">
      <alignment horizontal="center" vertical="center"/>
    </xf>
    <xf numFmtId="0" fontId="87" fillId="0" borderId="3" xfId="2" applyFont="1" applyFill="1" applyBorder="1" applyAlignment="1">
      <alignment horizontal="center" vertical="center"/>
    </xf>
    <xf numFmtId="0" fontId="5" fillId="0" borderId="38" xfId="2" applyFill="1" applyBorder="1" applyAlignment="1">
      <alignment horizontal="left" vertical="center"/>
    </xf>
    <xf numFmtId="0" fontId="50" fillId="0" borderId="10" xfId="2" applyFont="1" applyFill="1" applyBorder="1" applyAlignment="1">
      <alignment horizontal="center" vertical="center"/>
    </xf>
    <xf numFmtId="0" fontId="50" fillId="0" borderId="12" xfId="2" applyFont="1" applyFill="1" applyBorder="1" applyAlignment="1">
      <alignment horizontal="center" vertical="center"/>
    </xf>
    <xf numFmtId="0" fontId="50" fillId="20" borderId="5" xfId="2" applyFont="1" applyFill="1" applyBorder="1" applyAlignment="1">
      <alignment horizontal="center" vertical="center"/>
    </xf>
    <xf numFmtId="0" fontId="50" fillId="20" borderId="13" xfId="2" applyFont="1" applyFill="1" applyBorder="1" applyAlignment="1">
      <alignment horizontal="center" vertical="center"/>
    </xf>
    <xf numFmtId="9" fontId="50" fillId="0" borderId="1" xfId="2" applyNumberFormat="1" applyFont="1" applyBorder="1" applyAlignment="1">
      <alignment horizontal="center" vertical="center"/>
    </xf>
    <xf numFmtId="179" fontId="50" fillId="0" borderId="1" xfId="2" applyNumberFormat="1" applyFont="1" applyFill="1" applyBorder="1" applyAlignment="1">
      <alignment horizontal="center" vertical="center"/>
    </xf>
    <xf numFmtId="0" fontId="50" fillId="0" borderId="1" xfId="2" applyFont="1" applyBorder="1" applyAlignment="1">
      <alignment horizontal="center" vertical="center"/>
    </xf>
    <xf numFmtId="179" fontId="62" fillId="0" borderId="1" xfId="2" applyNumberFormat="1" applyFont="1" applyFill="1" applyBorder="1" applyAlignment="1">
      <alignment horizontal="center" vertical="center"/>
    </xf>
    <xf numFmtId="9" fontId="5" fillId="0" borderId="1" xfId="2" applyNumberFormat="1" applyBorder="1">
      <alignment vertical="center"/>
    </xf>
    <xf numFmtId="179" fontId="13" fillId="0" borderId="1" xfId="2" applyNumberFormat="1" applyFont="1" applyBorder="1">
      <alignment vertical="center"/>
    </xf>
    <xf numFmtId="0" fontId="50" fillId="20" borderId="1" xfId="2" applyFont="1" applyFill="1" applyBorder="1" applyAlignment="1">
      <alignment horizontal="center" vertical="center"/>
    </xf>
    <xf numFmtId="0" fontId="87" fillId="20" borderId="1" xfId="2" applyFont="1" applyFill="1" applyBorder="1" applyAlignment="1">
      <alignment horizontal="center" vertical="center"/>
    </xf>
    <xf numFmtId="179" fontId="11" fillId="20" borderId="1" xfId="2" applyNumberFormat="1" applyFont="1" applyFill="1" applyBorder="1" applyAlignment="1">
      <alignment horizontal="center" vertical="center"/>
    </xf>
    <xf numFmtId="179" fontId="89" fillId="0" borderId="1" xfId="2" applyNumberFormat="1" applyFont="1" applyFill="1" applyBorder="1" applyAlignment="1">
      <alignment horizontal="center" vertical="center"/>
    </xf>
    <xf numFmtId="0" fontId="50" fillId="0" borderId="3" xfId="2" applyFont="1" applyBorder="1" applyAlignment="1">
      <alignment horizontal="center" vertical="center"/>
    </xf>
    <xf numFmtId="0" fontId="92" fillId="0" borderId="1" xfId="2" applyFont="1" applyBorder="1" applyAlignment="1">
      <alignment horizontal="center" vertical="center"/>
    </xf>
    <xf numFmtId="0" fontId="50" fillId="0" borderId="4" xfId="2" applyFont="1" applyBorder="1" applyAlignment="1">
      <alignment horizontal="center" vertical="center"/>
    </xf>
    <xf numFmtId="179" fontId="92" fillId="0" borderId="1" xfId="2" applyNumberFormat="1" applyFont="1" applyBorder="1" applyAlignment="1">
      <alignment horizontal="center" vertical="center"/>
    </xf>
    <xf numFmtId="176" fontId="50" fillId="3" borderId="1" xfId="2" applyNumberFormat="1" applyFont="1" applyFill="1" applyBorder="1" applyAlignment="1">
      <alignment horizontal="center" vertical="center"/>
    </xf>
    <xf numFmtId="178" fontId="50" fillId="3" borderId="1" xfId="2" applyNumberFormat="1" applyFont="1" applyFill="1" applyBorder="1" applyAlignment="1">
      <alignment horizontal="center" vertical="center"/>
    </xf>
    <xf numFmtId="0" fontId="5" fillId="18" borderId="0" xfId="2" applyFill="1">
      <alignment vertical="center"/>
    </xf>
    <xf numFmtId="0" fontId="50" fillId="0" borderId="1" xfId="2" applyFont="1" applyBorder="1" applyAlignment="1">
      <alignment horizontal="center" vertical="center" shrinkToFit="1"/>
    </xf>
    <xf numFmtId="0" fontId="87" fillId="0" borderId="0" xfId="2" applyFont="1" applyFill="1" applyBorder="1" applyAlignment="1">
      <alignment horizontal="center" vertical="center"/>
    </xf>
    <xf numFmtId="0" fontId="50" fillId="0" borderId="1" xfId="2" applyFont="1" applyBorder="1" applyAlignment="1">
      <alignment horizontal="right" vertical="center"/>
    </xf>
    <xf numFmtId="176" fontId="62" fillId="20" borderId="1" xfId="2" applyNumberFormat="1" applyFont="1" applyFill="1" applyBorder="1" applyAlignment="1">
      <alignment horizontal="center" vertical="center"/>
    </xf>
    <xf numFmtId="0" fontId="39" fillId="0" borderId="18" xfId="2" applyFont="1" applyFill="1" applyBorder="1" applyAlignment="1">
      <alignment horizontal="left" vertical="center"/>
    </xf>
    <xf numFmtId="0" fontId="13" fillId="0" borderId="0" xfId="2" applyFont="1" applyAlignment="1">
      <alignment horizontal="center" vertical="center"/>
    </xf>
    <xf numFmtId="0" fontId="13" fillId="0" borderId="1" xfId="2" applyFont="1" applyBorder="1" applyAlignment="1">
      <alignment horizontal="center" vertical="center"/>
    </xf>
    <xf numFmtId="176" fontId="50" fillId="0" borderId="1" xfId="2" applyNumberFormat="1" applyFont="1" applyBorder="1" applyAlignment="1">
      <alignment horizontal="right" vertical="center"/>
    </xf>
    <xf numFmtId="0" fontId="5" fillId="21" borderId="0" xfId="2" applyFont="1" applyFill="1">
      <alignment vertical="center"/>
    </xf>
    <xf numFmtId="0" fontId="5" fillId="13" borderId="0" xfId="2" applyFont="1" applyFill="1">
      <alignment vertical="center"/>
    </xf>
  </cellXfs>
  <cellStyles count="11">
    <cellStyle name="常规" xfId="0" builtinId="0"/>
    <cellStyle name="常规 2" xfId="2"/>
    <cellStyle name="常规 2 2" xfId="5"/>
    <cellStyle name="常规 3" xfId="3"/>
    <cellStyle name="常规 3 2" xfId="6"/>
    <cellStyle name="常规 4" xfId="1"/>
    <cellStyle name="常规 4 2" xfId="7"/>
    <cellStyle name="常规 5" xfId="8"/>
    <cellStyle name="常规 5 2" xfId="9"/>
    <cellStyle name="常规 6" xfId="4"/>
    <cellStyle name="常规_01.烧结发电" xfId="1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4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7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3.xml"/><Relationship Id="rId25" Type="http://schemas.openxmlformats.org/officeDocument/2006/relationships/externalLink" Target="externalLinks/externalLink1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2.xml"/><Relationship Id="rId20" Type="http://schemas.openxmlformats.org/officeDocument/2006/relationships/externalLink" Target="externalLinks/externalLink6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10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23" Type="http://schemas.openxmlformats.org/officeDocument/2006/relationships/externalLink" Target="externalLinks/externalLink9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8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4" Type="http://schemas.openxmlformats.org/officeDocument/2006/relationships/image" Target="../media/image2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9</xdr:row>
      <xdr:rowOff>9525</xdr:rowOff>
    </xdr:from>
    <xdr:to>
      <xdr:col>14</xdr:col>
      <xdr:colOff>114300</xdr:colOff>
      <xdr:row>25</xdr:row>
      <xdr:rowOff>133350</xdr:rowOff>
    </xdr:to>
    <xdr:pic>
      <xdr:nvPicPr>
        <xdr:cNvPr id="2" name="Picture 3" descr="NH(2QUK[OQ0}N[}G44@NM(B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1638300"/>
          <a:ext cx="4229100" cy="3200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28575</xdr:colOff>
      <xdr:row>25</xdr:row>
      <xdr:rowOff>0</xdr:rowOff>
    </xdr:from>
    <xdr:to>
      <xdr:col>13</xdr:col>
      <xdr:colOff>514350</xdr:colOff>
      <xdr:row>54</xdr:row>
      <xdr:rowOff>200025</xdr:rowOff>
    </xdr:to>
    <xdr:pic>
      <xdr:nvPicPr>
        <xdr:cNvPr id="3" name="Picture 2" descr="9YI}409P(IT3LB(3CI6O%H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9600" y="4705350"/>
          <a:ext cx="3914775" cy="5915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266700</xdr:colOff>
      <xdr:row>53</xdr:row>
      <xdr:rowOff>95250</xdr:rowOff>
    </xdr:from>
    <xdr:to>
      <xdr:col>15</xdr:col>
      <xdr:colOff>342900</xdr:colOff>
      <xdr:row>66</xdr:row>
      <xdr:rowOff>76200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0153650"/>
          <a:ext cx="4876800" cy="31908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8</xdr:col>
      <xdr:colOff>409575</xdr:colOff>
      <xdr:row>65</xdr:row>
      <xdr:rowOff>104775</xdr:rowOff>
    </xdr:from>
    <xdr:to>
      <xdr:col>16</xdr:col>
      <xdr:colOff>561975</xdr:colOff>
      <xdr:row>84</xdr:row>
      <xdr:rowOff>152400</xdr:rowOff>
    </xdr:to>
    <xdr:pic>
      <xdr:nvPicPr>
        <xdr:cNvPr id="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10600" y="13192125"/>
          <a:ext cx="5638800" cy="34956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0</xdr:colOff>
      <xdr:row>94</xdr:row>
      <xdr:rowOff>19050</xdr:rowOff>
    </xdr:from>
    <xdr:to>
      <xdr:col>0</xdr:col>
      <xdr:colOff>0</xdr:colOff>
      <xdr:row>94</xdr:row>
      <xdr:rowOff>19050</xdr:rowOff>
    </xdr:to>
    <xdr:sp macro="" textlink="">
      <xdr:nvSpPr>
        <xdr:cNvPr id="6" name="Line 10"/>
        <xdr:cNvSpPr>
          <a:spLocks noChangeShapeType="1"/>
        </xdr:cNvSpPr>
      </xdr:nvSpPr>
      <xdr:spPr bwMode="auto">
        <a:xfrm flipH="1">
          <a:off x="0" y="18364200"/>
          <a:ext cx="0" cy="0"/>
        </a:xfrm>
        <a:prstGeom prst="line">
          <a:avLst/>
        </a:prstGeom>
        <a:noFill/>
        <a:ln w="25400">
          <a:solidFill>
            <a:srgbClr val="0000FF"/>
          </a:solidFill>
          <a:round/>
          <a:headEnd/>
          <a:tailEnd type="triangle" w="med" len="med"/>
        </a:ln>
        <a:effectLst/>
        <a:extLst>
          <a:ext uri="{909E8E84-426E-40DD-AFC4-6F175D3DCCD1}">
            <a14:hiddenFill xmlns:a14="http://schemas.microsoft.com/office/drawing/2010/main">
              <a:noFill/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  <xdr:twoCellAnchor>
    <xdr:from>
      <xdr:col>0</xdr:col>
      <xdr:colOff>0</xdr:colOff>
      <xdr:row>93</xdr:row>
      <xdr:rowOff>47625</xdr:rowOff>
    </xdr:from>
    <xdr:to>
      <xdr:col>0</xdr:col>
      <xdr:colOff>0</xdr:colOff>
      <xdr:row>93</xdr:row>
      <xdr:rowOff>47625</xdr:rowOff>
    </xdr:to>
    <xdr:sp macro="" textlink="">
      <xdr:nvSpPr>
        <xdr:cNvPr id="7" name="Line 11"/>
        <xdr:cNvSpPr>
          <a:spLocks noChangeShapeType="1"/>
        </xdr:cNvSpPr>
      </xdr:nvSpPr>
      <xdr:spPr bwMode="auto">
        <a:xfrm flipV="1">
          <a:off x="0" y="18211800"/>
          <a:ext cx="0" cy="0"/>
        </a:xfrm>
        <a:prstGeom prst="line">
          <a:avLst/>
        </a:prstGeom>
        <a:noFill/>
        <a:ln w="25400">
          <a:solidFill>
            <a:srgbClr val="0000FF"/>
          </a:solidFill>
          <a:round/>
          <a:headEnd/>
          <a:tailEnd type="triangle" w="med" len="med"/>
        </a:ln>
        <a:effectLst/>
        <a:extLst>
          <a:ext uri="{909E8E84-426E-40DD-AFC4-6F175D3DCCD1}">
            <a14:hiddenFill xmlns:a14="http://schemas.microsoft.com/office/drawing/2010/main">
              <a:noFill/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  <xdr:twoCellAnchor>
    <xdr:from>
      <xdr:col>0</xdr:col>
      <xdr:colOff>0</xdr:colOff>
      <xdr:row>93</xdr:row>
      <xdr:rowOff>0</xdr:rowOff>
    </xdr:from>
    <xdr:to>
      <xdr:col>0</xdr:col>
      <xdr:colOff>0</xdr:colOff>
      <xdr:row>93</xdr:row>
      <xdr:rowOff>0</xdr:rowOff>
    </xdr:to>
    <xdr:sp macro="" textlink="">
      <xdr:nvSpPr>
        <xdr:cNvPr id="8" name="Line 12"/>
        <xdr:cNvSpPr>
          <a:spLocks noChangeShapeType="1"/>
        </xdr:cNvSpPr>
      </xdr:nvSpPr>
      <xdr:spPr bwMode="auto">
        <a:xfrm flipH="1">
          <a:off x="0" y="18164175"/>
          <a:ext cx="0" cy="0"/>
        </a:xfrm>
        <a:prstGeom prst="line">
          <a:avLst/>
        </a:prstGeom>
        <a:noFill/>
        <a:ln w="25400">
          <a:solidFill>
            <a:srgbClr val="0000FF"/>
          </a:solidFill>
          <a:round/>
          <a:headEnd/>
          <a:tailEnd type="triangle" w="med" len="med"/>
        </a:ln>
        <a:effectLst/>
        <a:extLst>
          <a:ext uri="{909E8E84-426E-40DD-AFC4-6F175D3DCCD1}">
            <a14:hiddenFill xmlns:a14="http://schemas.microsoft.com/office/drawing/2010/main">
              <a:noFill/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sp>
    <xdr:clientData/>
  </xdr:twoCellAnchor>
  <xdr:twoCellAnchor editAs="oneCell">
    <xdr:from>
      <xdr:col>7</xdr:col>
      <xdr:colOff>542925</xdr:colOff>
      <xdr:row>128</xdr:row>
      <xdr:rowOff>171450</xdr:rowOff>
    </xdr:from>
    <xdr:to>
      <xdr:col>12</xdr:col>
      <xdr:colOff>314325</xdr:colOff>
      <xdr:row>143</xdr:row>
      <xdr:rowOff>57150</xdr:rowOff>
    </xdr:to>
    <xdr:pic>
      <xdr:nvPicPr>
        <xdr:cNvPr id="9" name="图片 3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58150" y="24669750"/>
          <a:ext cx="3943350" cy="2600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167962</xdr:colOff>
      <xdr:row>22</xdr:row>
      <xdr:rowOff>168877</xdr:rowOff>
    </xdr:from>
    <xdr:to>
      <xdr:col>18</xdr:col>
      <xdr:colOff>137583</xdr:colOff>
      <xdr:row>35</xdr:row>
      <xdr:rowOff>5252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322545" y="3915377"/>
          <a:ext cx="6848788" cy="2058875"/>
        </a:xfrm>
        <a:prstGeom prst="rect">
          <a:avLst/>
        </a:prstGeom>
      </xdr:spPr>
    </xdr:pic>
    <xdr:clientData/>
  </xdr:twoCellAnchor>
  <xdr:twoCellAnchor editAs="oneCell">
    <xdr:from>
      <xdr:col>8</xdr:col>
      <xdr:colOff>578404</xdr:colOff>
      <xdr:row>20</xdr:row>
      <xdr:rowOff>7364</xdr:rowOff>
    </xdr:from>
    <xdr:to>
      <xdr:col>14</xdr:col>
      <xdr:colOff>404639</xdr:colOff>
      <xdr:row>22</xdr:row>
      <xdr:rowOff>96617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859737" y="3415197"/>
          <a:ext cx="3953735" cy="427919"/>
        </a:xfrm>
        <a:prstGeom prst="rect">
          <a:avLst/>
        </a:prstGeom>
      </xdr:spPr>
    </xdr:pic>
    <xdr:clientData/>
  </xdr:twoCellAnchor>
  <xdr:twoCellAnchor editAs="oneCell">
    <xdr:from>
      <xdr:col>8</xdr:col>
      <xdr:colOff>191419</xdr:colOff>
      <xdr:row>61</xdr:row>
      <xdr:rowOff>42334</xdr:rowOff>
    </xdr:from>
    <xdr:to>
      <xdr:col>13</xdr:col>
      <xdr:colOff>52916</xdr:colOff>
      <xdr:row>75</xdr:row>
      <xdr:rowOff>143242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346002" y="10456334"/>
          <a:ext cx="3301081" cy="2482158"/>
        </a:xfrm>
        <a:prstGeom prst="rect">
          <a:avLst/>
        </a:prstGeom>
      </xdr:spPr>
    </xdr:pic>
    <xdr:clientData/>
  </xdr:twoCellAnchor>
  <xdr:twoCellAnchor editAs="oneCell">
    <xdr:from>
      <xdr:col>8</xdr:col>
      <xdr:colOff>160766</xdr:colOff>
      <xdr:row>76</xdr:row>
      <xdr:rowOff>20246</xdr:rowOff>
    </xdr:from>
    <xdr:to>
      <xdr:col>13</xdr:col>
      <xdr:colOff>139422</xdr:colOff>
      <xdr:row>93</xdr:row>
      <xdr:rowOff>73535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7442099" y="12984829"/>
          <a:ext cx="3418240" cy="293195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285750</xdr:colOff>
      <xdr:row>0</xdr:row>
      <xdr:rowOff>125160</xdr:rowOff>
    </xdr:from>
    <xdr:to>
      <xdr:col>18</xdr:col>
      <xdr:colOff>51858</xdr:colOff>
      <xdr:row>20</xdr:row>
      <xdr:rowOff>35894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440333" y="125160"/>
          <a:ext cx="6645275" cy="3329151"/>
        </a:xfrm>
        <a:prstGeom prst="rect">
          <a:avLst/>
        </a:prstGeom>
      </xdr:spPr>
    </xdr:pic>
    <xdr:clientData/>
  </xdr:twoCellAnchor>
  <xdr:twoCellAnchor editAs="oneCell">
    <xdr:from>
      <xdr:col>8</xdr:col>
      <xdr:colOff>526605</xdr:colOff>
      <xdr:row>36</xdr:row>
      <xdr:rowOff>56109</xdr:rowOff>
    </xdr:from>
    <xdr:to>
      <xdr:col>14</xdr:col>
      <xdr:colOff>65252</xdr:colOff>
      <xdr:row>59</xdr:row>
      <xdr:rowOff>118256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81188" y="6194442"/>
          <a:ext cx="3666147" cy="3999147"/>
        </a:xfrm>
        <a:prstGeom prst="rect">
          <a:avLst/>
        </a:prstGeom>
      </xdr:spPr>
    </xdr:pic>
    <xdr:clientData/>
  </xdr:twoCellAnchor>
  <xdr:twoCellAnchor editAs="oneCell">
    <xdr:from>
      <xdr:col>8</xdr:col>
      <xdr:colOff>281299</xdr:colOff>
      <xdr:row>54</xdr:row>
      <xdr:rowOff>132914</xdr:rowOff>
    </xdr:from>
    <xdr:to>
      <xdr:col>13</xdr:col>
      <xdr:colOff>2144</xdr:colOff>
      <xdr:row>61</xdr:row>
      <xdr:rowOff>167033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7562632" y="9361581"/>
          <a:ext cx="3160429" cy="12194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180975</xdr:colOff>
      <xdr:row>2</xdr:row>
      <xdr:rowOff>28576</xdr:rowOff>
    </xdr:from>
    <xdr:to>
      <xdr:col>4</xdr:col>
      <xdr:colOff>1047750</xdr:colOff>
      <xdr:row>2</xdr:row>
      <xdr:rowOff>307182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219575" y="381001"/>
          <a:ext cx="866775" cy="27860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362278</xdr:colOff>
      <xdr:row>4</xdr:row>
      <xdr:rowOff>59732</xdr:rowOff>
    </xdr:from>
    <xdr:to>
      <xdr:col>14</xdr:col>
      <xdr:colOff>37170</xdr:colOff>
      <xdr:row>8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734878" y="812207"/>
          <a:ext cx="4475492" cy="86419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990600</xdr:colOff>
      <xdr:row>11</xdr:row>
      <xdr:rowOff>171450</xdr:rowOff>
    </xdr:from>
    <xdr:ext cx="7210425" cy="962025"/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0650" y="2228850"/>
          <a:ext cx="7210425" cy="9620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309042</xdr:colOff>
      <xdr:row>43</xdr:row>
      <xdr:rowOff>121227</xdr:rowOff>
    </xdr:from>
    <xdr:to>
      <xdr:col>12</xdr:col>
      <xdr:colOff>521432</xdr:colOff>
      <xdr:row>70</xdr:row>
      <xdr:rowOff>161882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569565" y="7568045"/>
          <a:ext cx="3632731" cy="4716564"/>
        </a:xfrm>
        <a:prstGeom prst="rect">
          <a:avLst/>
        </a:prstGeom>
      </xdr:spPr>
    </xdr:pic>
    <xdr:clientData/>
  </xdr:twoCellAnchor>
  <xdr:twoCellAnchor editAs="oneCell">
    <xdr:from>
      <xdr:col>7</xdr:col>
      <xdr:colOff>95248</xdr:colOff>
      <xdr:row>0</xdr:row>
      <xdr:rowOff>25977</xdr:rowOff>
    </xdr:from>
    <xdr:to>
      <xdr:col>13</xdr:col>
      <xdr:colOff>173182</xdr:colOff>
      <xdr:row>6</xdr:row>
      <xdr:rowOff>34636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55771" y="25977"/>
          <a:ext cx="4182343" cy="1047750"/>
        </a:xfrm>
        <a:prstGeom prst="rect">
          <a:avLst/>
        </a:prstGeom>
      </xdr:spPr>
    </xdr:pic>
    <xdr:clientData/>
  </xdr:twoCellAnchor>
  <xdr:twoCellAnchor editAs="oneCell">
    <xdr:from>
      <xdr:col>7</xdr:col>
      <xdr:colOff>216477</xdr:colOff>
      <xdr:row>6</xdr:row>
      <xdr:rowOff>11653</xdr:rowOff>
    </xdr:from>
    <xdr:to>
      <xdr:col>14</xdr:col>
      <xdr:colOff>31871</xdr:colOff>
      <xdr:row>24</xdr:row>
      <xdr:rowOff>97995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477000" y="1050744"/>
          <a:ext cx="4603871" cy="3203615"/>
        </a:xfrm>
        <a:prstGeom prst="rect">
          <a:avLst/>
        </a:prstGeom>
      </xdr:spPr>
    </xdr:pic>
    <xdr:clientData/>
  </xdr:twoCellAnchor>
  <xdr:twoCellAnchor editAs="oneCell">
    <xdr:from>
      <xdr:col>7</xdr:col>
      <xdr:colOff>259772</xdr:colOff>
      <xdr:row>24</xdr:row>
      <xdr:rowOff>60867</xdr:rowOff>
    </xdr:from>
    <xdr:to>
      <xdr:col>14</xdr:col>
      <xdr:colOff>23188</xdr:colOff>
      <xdr:row>43</xdr:row>
      <xdr:rowOff>40805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520295" y="4217231"/>
          <a:ext cx="4551893" cy="3270392"/>
        </a:xfrm>
        <a:prstGeom prst="rect">
          <a:avLst/>
        </a:prstGeom>
      </xdr:spPr>
    </xdr:pic>
    <xdr:clientData/>
  </xdr:twoCellAnchor>
  <xdr:twoCellAnchor editAs="oneCell">
    <xdr:from>
      <xdr:col>7</xdr:col>
      <xdr:colOff>346363</xdr:colOff>
      <xdr:row>72</xdr:row>
      <xdr:rowOff>25977</xdr:rowOff>
    </xdr:from>
    <xdr:to>
      <xdr:col>14</xdr:col>
      <xdr:colOff>234077</xdr:colOff>
      <xdr:row>87</xdr:row>
      <xdr:rowOff>9203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606886" y="12495068"/>
          <a:ext cx="4676191" cy="258095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17</xdr:col>
      <xdr:colOff>141486</xdr:colOff>
      <xdr:row>43</xdr:row>
      <xdr:rowOff>37239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514350"/>
          <a:ext cx="11114286" cy="68952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16</xdr:col>
      <xdr:colOff>332048</xdr:colOff>
      <xdr:row>84</xdr:row>
      <xdr:rowOff>56286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5800" y="7543800"/>
          <a:ext cx="10619048" cy="6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17</xdr:col>
      <xdr:colOff>122439</xdr:colOff>
      <xdr:row>123</xdr:row>
      <xdr:rowOff>161091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14573250"/>
          <a:ext cx="11095239" cy="66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7316</xdr:colOff>
      <xdr:row>125</xdr:row>
      <xdr:rowOff>9525</xdr:rowOff>
    </xdr:from>
    <xdr:to>
      <xdr:col>15</xdr:col>
      <xdr:colOff>579631</xdr:colOff>
      <xdr:row>146</xdr:row>
      <xdr:rowOff>66675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93116" y="21440775"/>
          <a:ext cx="10173515" cy="36576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14</xdr:col>
      <xdr:colOff>217934</xdr:colOff>
      <xdr:row>25</xdr:row>
      <xdr:rowOff>94724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71450"/>
          <a:ext cx="9133334" cy="4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161924</xdr:colOff>
      <xdr:row>26</xdr:row>
      <xdr:rowOff>0</xdr:rowOff>
    </xdr:from>
    <xdr:to>
      <xdr:col>14</xdr:col>
      <xdr:colOff>132219</xdr:colOff>
      <xdr:row>61</xdr:row>
      <xdr:rowOff>123060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7724" y="4457700"/>
          <a:ext cx="8885695" cy="6123810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61</xdr:row>
      <xdr:rowOff>142875</xdr:rowOff>
    </xdr:from>
    <xdr:to>
      <xdr:col>15</xdr:col>
      <xdr:colOff>236928</xdr:colOff>
      <xdr:row>101</xdr:row>
      <xdr:rowOff>151542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42975" y="10601325"/>
          <a:ext cx="9580953" cy="68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15</xdr:col>
      <xdr:colOff>256029</xdr:colOff>
      <xdr:row>138</xdr:row>
      <xdr:rowOff>27800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71600" y="17487900"/>
          <a:ext cx="9171429" cy="6200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&#26041;&#26696;&#35745;&#31639;&#21450;&#30456;&#20851;&#26679;&#26412;\1&#12289;&#35745;&#31639;--tbo\&#29028;&#27668;&#21457;&#30005;&#35745;&#31639;--&#24120;&#35268;&#21442;&#25968;.xlsx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My%20Projects\&#20854;&#23427;\618\618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B:\D-96013B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#29028;&#27668;&#21457;&#30005;\&#29028;&#27668;&#21457;&#30005;\&#29028;&#27668;&#21457;&#30005;\&#29028;&#27668;&#21457;&#30005;&#35745;&#31639;--&#36741;&#26426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Documents%20and%20Settings\E296682\Local%20Settings\Temporary%20Internet%20Files\OLK2B\BA&#28857;&#25968;&amp;&#25253;&#20215;1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&#37329;&#24425;&#34425;\&#23425;&#27874;&#24320;&#20803;&#21517;&#37117;&#22823;&#37202;&#24215;\&#19996;&#37066;&#23486;&#39302;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&#37329;&#24425;&#34425;\0303BA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&#37329;&#24425;&#34425;\0401&#28142;&#28023;&#22269;&#38469;&#25253;&#20215;\0405&#25253;&#20215;&#27719;&#24635;&#34920;3.25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Documents%20and%20Settings\bwu\My%20Projects\&#22825;&#27941;&#20013;&#29615;&#20844;&#21496;&#39033;&#30446;\&#28392;&#28023;&#22270;&#32440;\&#28392;&#28023;&#22269;&#36152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My%20Projects\&#20854;&#23427;\WD%20Business%20Palaze\&#28857;&#34920;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nts%20and%20Settings\Administrator\&#26700;&#38754;\honeywell\project\2004\&#22797;&#26086;&#20809;&#21326;\BMS-6.20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原则性热力系统--无高加"/>
      <sheetName val="Sheet1"/>
      <sheetName val="原则性热力系统"/>
      <sheetName val="气体平均定压体积比热容"/>
      <sheetName val="烟焓表"/>
      <sheetName val="常用数据查询"/>
    </sheetNames>
    <sheetDataSet>
      <sheetData sheetId="0">
        <row r="47">
          <cell r="X47">
            <v>272.5</v>
          </cell>
        </row>
        <row r="51">
          <cell r="D51">
            <v>50</v>
          </cell>
          <cell r="F51">
            <v>1.18</v>
          </cell>
        </row>
        <row r="55">
          <cell r="B55">
            <v>43.761837194026782</v>
          </cell>
          <cell r="G55">
            <v>8.9999999999999993E-3</v>
          </cell>
        </row>
      </sheetData>
      <sheetData sheetId="1"/>
      <sheetData sheetId="2"/>
      <sheetData sheetId="3"/>
      <sheetData sheetId="4"/>
      <sheetData sheetId="5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点表"/>
      <sheetName val="price1"/>
    </sheetNames>
    <sheetDataSet>
      <sheetData sheetId="0">
        <row r="4">
          <cell r="I4" t="str">
            <v>元件型号</v>
          </cell>
          <cell r="J4" t="str">
            <v>数量</v>
          </cell>
        </row>
        <row r="16">
          <cell r="I16" t="str">
            <v>H7015B1004</v>
          </cell>
          <cell r="J16">
            <v>1</v>
          </cell>
        </row>
        <row r="17">
          <cell r="I17" t="str">
            <v>DPS</v>
          </cell>
          <cell r="J17">
            <v>1</v>
          </cell>
        </row>
        <row r="18">
          <cell r="I18" t="str">
            <v>L480G</v>
          </cell>
          <cell r="J18">
            <v>1</v>
          </cell>
        </row>
        <row r="19">
          <cell r="I19" t="str">
            <v>DPS</v>
          </cell>
          <cell r="J19">
            <v>1</v>
          </cell>
        </row>
        <row r="23">
          <cell r="J23">
            <v>1</v>
          </cell>
        </row>
        <row r="24">
          <cell r="I24" t="str">
            <v>ML7174</v>
          </cell>
          <cell r="J24">
            <v>1</v>
          </cell>
        </row>
        <row r="33">
          <cell r="I33" t="str">
            <v>FFS-10A</v>
          </cell>
          <cell r="J33">
            <v>6</v>
          </cell>
        </row>
        <row r="38">
          <cell r="I38" t="str">
            <v>FFS-10A</v>
          </cell>
          <cell r="J38">
            <v>18</v>
          </cell>
        </row>
        <row r="44">
          <cell r="I44" t="str">
            <v>FFS-10A</v>
          </cell>
          <cell r="J44">
            <v>2</v>
          </cell>
        </row>
        <row r="58">
          <cell r="I58" t="str">
            <v>T7413</v>
          </cell>
          <cell r="J58">
            <v>1</v>
          </cell>
        </row>
        <row r="59">
          <cell r="I59" t="str">
            <v>T7413</v>
          </cell>
          <cell r="J59">
            <v>1</v>
          </cell>
        </row>
        <row r="60">
          <cell r="I60" t="str">
            <v>242PC</v>
          </cell>
          <cell r="J60">
            <v>2</v>
          </cell>
        </row>
        <row r="61">
          <cell r="I61" t="str">
            <v>2517+8550</v>
          </cell>
          <cell r="J61">
            <v>1</v>
          </cell>
        </row>
        <row r="62">
          <cell r="I62" t="str">
            <v>DN100</v>
          </cell>
          <cell r="J62">
            <v>1</v>
          </cell>
        </row>
        <row r="63">
          <cell r="I63" t="str">
            <v>DN100</v>
          </cell>
          <cell r="J63">
            <v>2</v>
          </cell>
        </row>
        <row r="65">
          <cell r="I65" t="str">
            <v>T7413</v>
          </cell>
          <cell r="J65">
            <v>1</v>
          </cell>
        </row>
        <row r="66">
          <cell r="I66" t="str">
            <v>T7413</v>
          </cell>
          <cell r="J66">
            <v>1</v>
          </cell>
        </row>
        <row r="68">
          <cell r="I68" t="str">
            <v>FS4-3J</v>
          </cell>
          <cell r="J68">
            <v>2</v>
          </cell>
        </row>
        <row r="73">
          <cell r="I73" t="str">
            <v>FS4-3J</v>
          </cell>
          <cell r="J73">
            <v>2</v>
          </cell>
        </row>
        <row r="82">
          <cell r="I82" t="str">
            <v>DN100</v>
          </cell>
          <cell r="J82">
            <v>2</v>
          </cell>
        </row>
        <row r="83">
          <cell r="I83" t="str">
            <v>FFS-10A</v>
          </cell>
          <cell r="J83">
            <v>3</v>
          </cell>
        </row>
        <row r="85">
          <cell r="I85" t="str">
            <v>FS4-3J</v>
          </cell>
          <cell r="J85">
            <v>2</v>
          </cell>
        </row>
        <row r="112">
          <cell r="I112" t="str">
            <v>H7015B1004</v>
          </cell>
          <cell r="J112">
            <v>3</v>
          </cell>
        </row>
        <row r="113">
          <cell r="I113" t="str">
            <v>DPS</v>
          </cell>
          <cell r="J113">
            <v>3</v>
          </cell>
        </row>
        <row r="114">
          <cell r="I114" t="str">
            <v>L480G</v>
          </cell>
          <cell r="J114">
            <v>3</v>
          </cell>
        </row>
        <row r="115">
          <cell r="I115" t="str">
            <v>DPS</v>
          </cell>
          <cell r="J115">
            <v>3</v>
          </cell>
        </row>
        <row r="119">
          <cell r="J119">
            <v>3</v>
          </cell>
        </row>
        <row r="120">
          <cell r="I120" t="str">
            <v>ML7174</v>
          </cell>
          <cell r="J120">
            <v>3</v>
          </cell>
        </row>
        <row r="135">
          <cell r="I135" t="str">
            <v>H7015B1004</v>
          </cell>
          <cell r="J135">
            <v>2</v>
          </cell>
        </row>
        <row r="136">
          <cell r="I136" t="str">
            <v>DPS</v>
          </cell>
          <cell r="J136">
            <v>2</v>
          </cell>
        </row>
        <row r="137">
          <cell r="I137" t="str">
            <v>L480G</v>
          </cell>
          <cell r="J137">
            <v>2</v>
          </cell>
        </row>
        <row r="138">
          <cell r="I138" t="str">
            <v>DPS</v>
          </cell>
          <cell r="J138">
            <v>2</v>
          </cell>
        </row>
        <row r="142">
          <cell r="J142">
            <v>2</v>
          </cell>
        </row>
        <row r="143">
          <cell r="I143" t="str">
            <v>ML7174</v>
          </cell>
          <cell r="J143">
            <v>2</v>
          </cell>
        </row>
        <row r="158">
          <cell r="I158" t="str">
            <v>H7015B1004</v>
          </cell>
          <cell r="J158">
            <v>2</v>
          </cell>
        </row>
        <row r="159">
          <cell r="I159" t="str">
            <v>DPS</v>
          </cell>
          <cell r="J159">
            <v>2</v>
          </cell>
        </row>
        <row r="160">
          <cell r="I160" t="str">
            <v>L480G</v>
          </cell>
          <cell r="J160">
            <v>2</v>
          </cell>
        </row>
        <row r="161">
          <cell r="I161" t="str">
            <v>DPS</v>
          </cell>
          <cell r="J161">
            <v>2</v>
          </cell>
        </row>
        <row r="165">
          <cell r="J165">
            <v>2</v>
          </cell>
        </row>
        <row r="166">
          <cell r="I166" t="str">
            <v>ML7174</v>
          </cell>
          <cell r="J166">
            <v>2</v>
          </cell>
        </row>
        <row r="177">
          <cell r="I177" t="str">
            <v>H7015B1004</v>
          </cell>
          <cell r="J177">
            <v>3</v>
          </cell>
        </row>
        <row r="178">
          <cell r="I178" t="str">
            <v>DPS</v>
          </cell>
          <cell r="J178">
            <v>3</v>
          </cell>
        </row>
        <row r="179">
          <cell r="I179" t="str">
            <v>L480G</v>
          </cell>
          <cell r="J179">
            <v>3</v>
          </cell>
        </row>
        <row r="180">
          <cell r="I180" t="str">
            <v>DPS</v>
          </cell>
          <cell r="J180">
            <v>3</v>
          </cell>
        </row>
        <row r="184">
          <cell r="J184">
            <v>3</v>
          </cell>
        </row>
        <row r="185">
          <cell r="I185" t="str">
            <v>ML7174</v>
          </cell>
          <cell r="J185">
            <v>3</v>
          </cell>
        </row>
        <row r="187">
          <cell r="I187" t="str">
            <v>LF20</v>
          </cell>
          <cell r="J187">
            <v>6</v>
          </cell>
        </row>
        <row r="188">
          <cell r="I188" t="str">
            <v>DPS</v>
          </cell>
          <cell r="J188">
            <v>3</v>
          </cell>
        </row>
        <row r="189">
          <cell r="I189" t="str">
            <v>L480G</v>
          </cell>
          <cell r="J189">
            <v>3</v>
          </cell>
        </row>
        <row r="190">
          <cell r="I190" t="str">
            <v>DPS</v>
          </cell>
          <cell r="J190">
            <v>3</v>
          </cell>
        </row>
        <row r="195">
          <cell r="J195">
            <v>3</v>
          </cell>
        </row>
        <row r="196">
          <cell r="I196" t="str">
            <v>ML7174</v>
          </cell>
          <cell r="J196">
            <v>3</v>
          </cell>
        </row>
        <row r="197">
          <cell r="I197" t="str">
            <v>ML7174</v>
          </cell>
          <cell r="J197">
            <v>3</v>
          </cell>
        </row>
        <row r="210">
          <cell r="I210" t="str">
            <v>H7015B1004</v>
          </cell>
          <cell r="J210">
            <v>17</v>
          </cell>
        </row>
        <row r="211">
          <cell r="I211" t="str">
            <v>DPS</v>
          </cell>
          <cell r="J211">
            <v>17</v>
          </cell>
        </row>
        <row r="212">
          <cell r="I212" t="str">
            <v>L480G</v>
          </cell>
          <cell r="J212">
            <v>17</v>
          </cell>
        </row>
        <row r="213">
          <cell r="I213" t="str">
            <v>DPS</v>
          </cell>
          <cell r="J213">
            <v>17</v>
          </cell>
        </row>
        <row r="217">
          <cell r="J217">
            <v>17</v>
          </cell>
        </row>
        <row r="218">
          <cell r="I218" t="str">
            <v>ML7174</v>
          </cell>
          <cell r="J218">
            <v>17</v>
          </cell>
        </row>
        <row r="233">
          <cell r="I233" t="str">
            <v>H7015B1004</v>
          </cell>
          <cell r="J233">
            <v>2</v>
          </cell>
        </row>
        <row r="234">
          <cell r="I234" t="str">
            <v>DPS</v>
          </cell>
          <cell r="J234">
            <v>2</v>
          </cell>
        </row>
        <row r="235">
          <cell r="I235" t="str">
            <v>L480G</v>
          </cell>
          <cell r="J235">
            <v>2</v>
          </cell>
        </row>
        <row r="236">
          <cell r="I236" t="str">
            <v>DPS</v>
          </cell>
          <cell r="J236">
            <v>2</v>
          </cell>
        </row>
        <row r="240">
          <cell r="J240">
            <v>2</v>
          </cell>
        </row>
        <row r="241">
          <cell r="I241" t="str">
            <v>ML7174</v>
          </cell>
          <cell r="J241">
            <v>2</v>
          </cell>
        </row>
        <row r="243">
          <cell r="I243" t="str">
            <v>H7015B1004</v>
          </cell>
          <cell r="J243">
            <v>1</v>
          </cell>
        </row>
        <row r="244">
          <cell r="I244" t="str">
            <v>DPS</v>
          </cell>
          <cell r="J244">
            <v>1</v>
          </cell>
        </row>
        <row r="245">
          <cell r="I245" t="str">
            <v>L480G</v>
          </cell>
          <cell r="J245">
            <v>1</v>
          </cell>
        </row>
        <row r="246">
          <cell r="I246" t="str">
            <v>DPS</v>
          </cell>
          <cell r="J246">
            <v>1</v>
          </cell>
        </row>
        <row r="251">
          <cell r="J251">
            <v>1</v>
          </cell>
        </row>
        <row r="252">
          <cell r="I252" t="str">
            <v>ML7174</v>
          </cell>
          <cell r="J252">
            <v>1</v>
          </cell>
        </row>
        <row r="253">
          <cell r="I253" t="str">
            <v>ML7174</v>
          </cell>
          <cell r="J253">
            <v>1</v>
          </cell>
        </row>
      </sheetData>
      <sheetData sheetId="1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quipment Schedule"/>
      <sheetName val="p1"/>
      <sheetName val="ENGG"/>
      <sheetName val="summary_p2"/>
      <sheetName val="p2"/>
    </sheetNames>
    <sheetDataSet>
      <sheetData sheetId="0"/>
      <sheetData sheetId="1"/>
      <sheetData sheetId="2"/>
      <sheetData sheetId="3"/>
      <sheetData sheetId="4">
        <row r="24">
          <cell r="D24">
            <v>2</v>
          </cell>
        </row>
        <row r="25">
          <cell r="D25">
            <v>2</v>
          </cell>
        </row>
        <row r="36">
          <cell r="D36">
            <v>1</v>
          </cell>
        </row>
        <row r="37">
          <cell r="D37">
            <v>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循环水系统"/>
      <sheetName val="烟、风量计算"/>
      <sheetName val="烟风系统"/>
      <sheetName val="锅炉辅机系统"/>
      <sheetName val="烟阻力"/>
      <sheetName val="风阻力"/>
      <sheetName val="汽水管道"/>
      <sheetName val="汽机辅机系统"/>
      <sheetName val="气体平均定压体积比热容"/>
      <sheetName val="烟焓表"/>
      <sheetName val="常用数据查询"/>
      <sheetName val="总概算"/>
      <sheetName val="Sheet1"/>
    </sheetNames>
    <sheetDataSet>
      <sheetData sheetId="0"/>
      <sheetData sheetId="1">
        <row r="93">
          <cell r="AJ93">
            <v>1.5807891999999999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冷热源"/>
      <sheetName val="空调"/>
      <sheetName val="送排风"/>
      <sheetName val="给排水"/>
      <sheetName val="电"/>
      <sheetName val="Valve"/>
      <sheetName val="BA "/>
    </sheetNames>
    <sheetDataSet>
      <sheetData sheetId="0"/>
      <sheetData sheetId="1"/>
      <sheetData sheetId="2"/>
      <sheetData sheetId="3"/>
      <sheetData sheetId="4"/>
      <sheetData sheetId="5"/>
      <sheetData sheetId="6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能源中心"/>
      <sheetName val="客房楼"/>
      <sheetName val="宴会楼"/>
      <sheetName val="主楼"/>
      <sheetName val="健身中心"/>
      <sheetName val="BA "/>
      <sheetName val="BM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/>
      <sheetData sheetId="6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000"/>
      <sheetName val="BMS"/>
      <sheetName val="BA "/>
    </sheetNames>
    <sheetDataSet>
      <sheetData sheetId="0" refreshError="1"/>
      <sheetData sheetId="1" refreshError="1"/>
      <sheetData sheetId="2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汇总表"/>
      <sheetName val="IBMS"/>
      <sheetName val="PABX3X (2)"/>
      <sheetName val="CATV1"/>
      <sheetName val="PA"/>
      <sheetName val="OA"/>
      <sheetName val="网络"/>
      <sheetName val="物业管理"/>
      <sheetName val="信息"/>
      <sheetName val="BA  (2)"/>
      <sheetName val="会议"/>
      <sheetName val="防盗"/>
      <sheetName val="CCTV"/>
      <sheetName val="ACCESS"/>
      <sheetName val="巡更"/>
      <sheetName val="对讲系统"/>
      <sheetName val="PDS1"/>
      <sheetName val="防雷"/>
      <sheetName val="中心机房"/>
      <sheetName val="客房管理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-Pl"/>
      <sheetName val="BA"/>
    </sheetNames>
    <sheetDataSet>
      <sheetData sheetId="0" refreshError="1">
        <row r="4">
          <cell r="K4" t="str">
            <v xml:space="preserve"> 控制器规格</v>
          </cell>
        </row>
        <row r="5">
          <cell r="I5" t="str">
            <v>元件型号</v>
          </cell>
          <cell r="J5" t="str">
            <v>数量</v>
          </cell>
          <cell r="K5" t="str">
            <v>控制器型号</v>
          </cell>
          <cell r="L5" t="str">
            <v>数量</v>
          </cell>
        </row>
        <row r="7">
          <cell r="I7" t="str">
            <v>T7413</v>
          </cell>
          <cell r="J7">
            <v>2</v>
          </cell>
        </row>
        <row r="8">
          <cell r="I8" t="str">
            <v>2517+8510</v>
          </cell>
          <cell r="J8">
            <v>1</v>
          </cell>
        </row>
        <row r="9">
          <cell r="I9" t="str">
            <v>242PC</v>
          </cell>
          <cell r="J9">
            <v>2</v>
          </cell>
        </row>
        <row r="10">
          <cell r="I10" t="str">
            <v>DN150</v>
          </cell>
          <cell r="J10">
            <v>1</v>
          </cell>
        </row>
        <row r="12">
          <cell r="I12" t="str">
            <v>FFS-2A</v>
          </cell>
          <cell r="J12">
            <v>2</v>
          </cell>
        </row>
        <row r="16">
          <cell r="I16" t="str">
            <v>FFS-2A</v>
          </cell>
          <cell r="J16">
            <v>10</v>
          </cell>
        </row>
        <row r="21">
          <cell r="I21" t="str">
            <v>H7015B1015</v>
          </cell>
          <cell r="J21">
            <v>1</v>
          </cell>
        </row>
        <row r="22">
          <cell r="I22" t="str">
            <v>T7411E</v>
          </cell>
          <cell r="J22">
            <v>1</v>
          </cell>
        </row>
        <row r="23">
          <cell r="I23" t="str">
            <v>RH-3</v>
          </cell>
          <cell r="J23">
            <v>2</v>
          </cell>
        </row>
        <row r="24">
          <cell r="I24" t="str">
            <v>L480G</v>
          </cell>
          <cell r="J24">
            <v>1</v>
          </cell>
        </row>
        <row r="25">
          <cell r="I25" t="str">
            <v>RH-3</v>
          </cell>
          <cell r="J25">
            <v>1</v>
          </cell>
        </row>
        <row r="30">
          <cell r="J30">
            <v>1</v>
          </cell>
        </row>
        <row r="31">
          <cell r="I31" t="str">
            <v>ML7284</v>
          </cell>
          <cell r="J31">
            <v>1</v>
          </cell>
        </row>
        <row r="32">
          <cell r="I32" t="str">
            <v>ML7284</v>
          </cell>
          <cell r="J32">
            <v>1</v>
          </cell>
        </row>
        <row r="34">
          <cell r="I34" t="str">
            <v>H7015B1015</v>
          </cell>
          <cell r="J34">
            <v>1</v>
          </cell>
        </row>
        <row r="35">
          <cell r="I35" t="str">
            <v>RH-3</v>
          </cell>
          <cell r="J35">
            <v>1</v>
          </cell>
        </row>
        <row r="36">
          <cell r="I36" t="str">
            <v>L480G</v>
          </cell>
          <cell r="J36">
            <v>1</v>
          </cell>
        </row>
        <row r="37">
          <cell r="I37" t="str">
            <v>RH-3</v>
          </cell>
          <cell r="J37">
            <v>1</v>
          </cell>
        </row>
        <row r="41">
          <cell r="J41">
            <v>1</v>
          </cell>
        </row>
        <row r="42">
          <cell r="I42" t="str">
            <v>ML6184</v>
          </cell>
          <cell r="J42">
            <v>1</v>
          </cell>
        </row>
        <row r="43">
          <cell r="K43" t="str">
            <v>XL500</v>
          </cell>
          <cell r="L43">
            <v>1</v>
          </cell>
        </row>
        <row r="44">
          <cell r="K44" t="str">
            <v>XF521</v>
          </cell>
          <cell r="L44">
            <v>2</v>
          </cell>
        </row>
        <row r="45">
          <cell r="K45" t="str">
            <v>XF522</v>
          </cell>
          <cell r="L45">
            <v>1</v>
          </cell>
        </row>
        <row r="46">
          <cell r="K46" t="str">
            <v>XF523</v>
          </cell>
          <cell r="L46">
            <v>5</v>
          </cell>
        </row>
        <row r="47">
          <cell r="K47" t="str">
            <v>XF524</v>
          </cell>
          <cell r="L47">
            <v>1</v>
          </cell>
        </row>
        <row r="50">
          <cell r="I50" t="str">
            <v>H7015B1015</v>
          </cell>
          <cell r="J50">
            <v>3</v>
          </cell>
        </row>
        <row r="51">
          <cell r="I51" t="str">
            <v>T7411E</v>
          </cell>
          <cell r="J51">
            <v>3</v>
          </cell>
        </row>
        <row r="52">
          <cell r="I52" t="str">
            <v>RH-3</v>
          </cell>
          <cell r="J52">
            <v>6</v>
          </cell>
        </row>
        <row r="53">
          <cell r="I53" t="str">
            <v>L480G</v>
          </cell>
          <cell r="J53">
            <v>3</v>
          </cell>
        </row>
        <row r="54">
          <cell r="I54" t="str">
            <v>RH-3</v>
          </cell>
          <cell r="J54">
            <v>3</v>
          </cell>
        </row>
        <row r="59">
          <cell r="J59">
            <v>3</v>
          </cell>
        </row>
        <row r="60">
          <cell r="I60" t="str">
            <v>ML7284</v>
          </cell>
          <cell r="J60">
            <v>3</v>
          </cell>
        </row>
        <row r="61">
          <cell r="I61" t="str">
            <v>ML7284</v>
          </cell>
          <cell r="J61">
            <v>3</v>
          </cell>
        </row>
        <row r="63">
          <cell r="K63" t="str">
            <v>XL50C</v>
          </cell>
          <cell r="L63">
            <v>3</v>
          </cell>
        </row>
        <row r="66">
          <cell r="I66" t="str">
            <v>H7015B1015</v>
          </cell>
          <cell r="J66">
            <v>2</v>
          </cell>
        </row>
        <row r="67">
          <cell r="I67" t="str">
            <v>T7411E</v>
          </cell>
          <cell r="J67">
            <v>2</v>
          </cell>
        </row>
        <row r="68">
          <cell r="I68" t="str">
            <v>RH-3</v>
          </cell>
          <cell r="J68">
            <v>4</v>
          </cell>
        </row>
        <row r="69">
          <cell r="I69" t="str">
            <v>L480G</v>
          </cell>
          <cell r="J69">
            <v>2</v>
          </cell>
        </row>
        <row r="70">
          <cell r="I70" t="str">
            <v>RH-3</v>
          </cell>
          <cell r="J70">
            <v>2</v>
          </cell>
        </row>
        <row r="75">
          <cell r="J75">
            <v>2</v>
          </cell>
        </row>
        <row r="76">
          <cell r="I76" t="str">
            <v>ML7284</v>
          </cell>
          <cell r="J76">
            <v>2</v>
          </cell>
        </row>
        <row r="77">
          <cell r="I77" t="str">
            <v>ML7284</v>
          </cell>
          <cell r="J77">
            <v>2</v>
          </cell>
        </row>
        <row r="79">
          <cell r="I79" t="str">
            <v>H7015B1015</v>
          </cell>
          <cell r="J79">
            <v>1</v>
          </cell>
        </row>
        <row r="80">
          <cell r="I80" t="str">
            <v>RH-3</v>
          </cell>
          <cell r="J80">
            <v>1</v>
          </cell>
        </row>
        <row r="81">
          <cell r="I81" t="str">
            <v>L480G</v>
          </cell>
          <cell r="J81">
            <v>1</v>
          </cell>
        </row>
        <row r="82">
          <cell r="I82" t="str">
            <v>RH-3</v>
          </cell>
          <cell r="J82">
            <v>1</v>
          </cell>
        </row>
        <row r="86">
          <cell r="J86">
            <v>1</v>
          </cell>
        </row>
        <row r="87">
          <cell r="I87" t="str">
            <v>ML6184</v>
          </cell>
          <cell r="J87">
            <v>1</v>
          </cell>
        </row>
        <row r="89">
          <cell r="K89" t="str">
            <v>XL50C</v>
          </cell>
          <cell r="L89">
            <v>2</v>
          </cell>
        </row>
        <row r="92">
          <cell r="I92" t="str">
            <v>H7015B1015</v>
          </cell>
          <cell r="J92">
            <v>2</v>
          </cell>
        </row>
        <row r="93">
          <cell r="I93" t="str">
            <v>T7411E</v>
          </cell>
          <cell r="J93">
            <v>2</v>
          </cell>
        </row>
        <row r="94">
          <cell r="I94" t="str">
            <v>RH-3</v>
          </cell>
          <cell r="J94">
            <v>4</v>
          </cell>
        </row>
        <row r="95">
          <cell r="I95" t="str">
            <v>L480G</v>
          </cell>
          <cell r="J95">
            <v>2</v>
          </cell>
        </row>
        <row r="96">
          <cell r="I96" t="str">
            <v>RH-3</v>
          </cell>
          <cell r="J96">
            <v>2</v>
          </cell>
        </row>
        <row r="101">
          <cell r="J101">
            <v>2</v>
          </cell>
        </row>
        <row r="102">
          <cell r="I102" t="str">
            <v>ML7284</v>
          </cell>
          <cell r="J102">
            <v>2</v>
          </cell>
        </row>
        <row r="103">
          <cell r="I103" t="str">
            <v>ML7284</v>
          </cell>
          <cell r="J103">
            <v>2</v>
          </cell>
        </row>
        <row r="105">
          <cell r="K105" t="str">
            <v>XL50C</v>
          </cell>
          <cell r="L105">
            <v>2</v>
          </cell>
        </row>
        <row r="108">
          <cell r="I108" t="str">
            <v>H7015B1015</v>
          </cell>
          <cell r="J108">
            <v>3</v>
          </cell>
        </row>
        <row r="109">
          <cell r="I109" t="str">
            <v>T7411E</v>
          </cell>
          <cell r="J109">
            <v>3</v>
          </cell>
        </row>
        <row r="110">
          <cell r="I110" t="str">
            <v>RH-3</v>
          </cell>
          <cell r="J110">
            <v>3</v>
          </cell>
        </row>
        <row r="111">
          <cell r="I111" t="str">
            <v>L480G</v>
          </cell>
          <cell r="J111">
            <v>3</v>
          </cell>
        </row>
        <row r="112">
          <cell r="I112" t="str">
            <v>RH-3</v>
          </cell>
          <cell r="J112">
            <v>3</v>
          </cell>
        </row>
        <row r="117">
          <cell r="J117">
            <v>3</v>
          </cell>
        </row>
        <row r="118">
          <cell r="I118" t="str">
            <v>ML7284</v>
          </cell>
          <cell r="J118">
            <v>3</v>
          </cell>
        </row>
        <row r="119">
          <cell r="I119" t="str">
            <v>ML7284</v>
          </cell>
          <cell r="J119">
            <v>3</v>
          </cell>
        </row>
        <row r="121">
          <cell r="K121" t="str">
            <v>XL50C</v>
          </cell>
          <cell r="L121">
            <v>2</v>
          </cell>
        </row>
        <row r="124">
          <cell r="I124" t="str">
            <v>H7015B1015</v>
          </cell>
          <cell r="J124">
            <v>1</v>
          </cell>
        </row>
        <row r="125">
          <cell r="I125" t="str">
            <v>T7411E</v>
          </cell>
          <cell r="J125">
            <v>1</v>
          </cell>
        </row>
        <row r="126">
          <cell r="I126" t="str">
            <v>RH-3</v>
          </cell>
          <cell r="J126">
            <v>2</v>
          </cell>
        </row>
        <row r="127">
          <cell r="I127" t="str">
            <v>L480G</v>
          </cell>
          <cell r="J127">
            <v>1</v>
          </cell>
        </row>
        <row r="128">
          <cell r="I128" t="str">
            <v>RH-3</v>
          </cell>
          <cell r="J128">
            <v>1</v>
          </cell>
        </row>
        <row r="133">
          <cell r="J133">
            <v>1</v>
          </cell>
        </row>
        <row r="134">
          <cell r="I134" t="str">
            <v>ML7284</v>
          </cell>
          <cell r="J134">
            <v>1</v>
          </cell>
        </row>
        <row r="135">
          <cell r="I135" t="str">
            <v>ML7284</v>
          </cell>
          <cell r="J135">
            <v>1</v>
          </cell>
        </row>
        <row r="137">
          <cell r="I137" t="str">
            <v>H7015B1015</v>
          </cell>
          <cell r="J137">
            <v>1</v>
          </cell>
        </row>
        <row r="138">
          <cell r="I138" t="str">
            <v>RH-3</v>
          </cell>
          <cell r="J138">
            <v>1</v>
          </cell>
        </row>
        <row r="139">
          <cell r="I139" t="str">
            <v>L480G</v>
          </cell>
          <cell r="J139">
            <v>1</v>
          </cell>
        </row>
        <row r="140">
          <cell r="I140" t="str">
            <v>RH-3</v>
          </cell>
          <cell r="J140">
            <v>1</v>
          </cell>
        </row>
        <row r="144">
          <cell r="J144">
            <v>1</v>
          </cell>
        </row>
        <row r="145">
          <cell r="I145" t="str">
            <v>ML6184</v>
          </cell>
          <cell r="J145">
            <v>1</v>
          </cell>
        </row>
        <row r="147">
          <cell r="I147" t="str">
            <v>H7508A1026</v>
          </cell>
          <cell r="J147">
            <v>2</v>
          </cell>
        </row>
        <row r="149">
          <cell r="K149" t="str">
            <v>XL50C</v>
          </cell>
          <cell r="L149">
            <v>2</v>
          </cell>
        </row>
        <row r="152">
          <cell r="I152" t="str">
            <v>H7015B1015</v>
          </cell>
          <cell r="J152">
            <v>3</v>
          </cell>
        </row>
        <row r="153">
          <cell r="I153" t="str">
            <v>T7411E</v>
          </cell>
          <cell r="J153">
            <v>3</v>
          </cell>
        </row>
        <row r="154">
          <cell r="I154" t="str">
            <v>RH-3</v>
          </cell>
          <cell r="J154">
            <v>6</v>
          </cell>
        </row>
        <row r="155">
          <cell r="I155" t="str">
            <v>L480G</v>
          </cell>
          <cell r="J155">
            <v>3</v>
          </cell>
        </row>
        <row r="156">
          <cell r="I156" t="str">
            <v>RH-3</v>
          </cell>
          <cell r="J156">
            <v>3</v>
          </cell>
        </row>
        <row r="161">
          <cell r="J161">
            <v>3</v>
          </cell>
        </row>
        <row r="162">
          <cell r="I162" t="str">
            <v>ML7284</v>
          </cell>
          <cell r="J162">
            <v>3</v>
          </cell>
        </row>
        <row r="163">
          <cell r="I163" t="str">
            <v>ML7284</v>
          </cell>
          <cell r="J163">
            <v>3</v>
          </cell>
        </row>
        <row r="165">
          <cell r="I165" t="str">
            <v>H7015B1015</v>
          </cell>
          <cell r="J165">
            <v>2</v>
          </cell>
        </row>
        <row r="166">
          <cell r="I166" t="str">
            <v>RH-3</v>
          </cell>
          <cell r="J166">
            <v>2</v>
          </cell>
        </row>
        <row r="167">
          <cell r="I167" t="str">
            <v>L480G</v>
          </cell>
          <cell r="J167">
            <v>2</v>
          </cell>
        </row>
        <row r="168">
          <cell r="I168" t="str">
            <v>RH-3</v>
          </cell>
          <cell r="J168">
            <v>2</v>
          </cell>
        </row>
        <row r="172">
          <cell r="J172">
            <v>2</v>
          </cell>
        </row>
        <row r="173">
          <cell r="I173" t="str">
            <v>ML6184</v>
          </cell>
          <cell r="J173">
            <v>2</v>
          </cell>
        </row>
        <row r="175">
          <cell r="K175" t="str">
            <v>XL50C</v>
          </cell>
          <cell r="L175">
            <v>4</v>
          </cell>
        </row>
        <row r="178">
          <cell r="I178" t="str">
            <v>H7015B1015</v>
          </cell>
          <cell r="J178">
            <v>1</v>
          </cell>
        </row>
        <row r="179">
          <cell r="I179" t="str">
            <v>T7411E</v>
          </cell>
          <cell r="J179">
            <v>1</v>
          </cell>
        </row>
        <row r="180">
          <cell r="I180" t="str">
            <v>RH-3</v>
          </cell>
          <cell r="J180">
            <v>2</v>
          </cell>
        </row>
        <row r="181">
          <cell r="I181" t="str">
            <v>L480G</v>
          </cell>
          <cell r="J181">
            <v>1</v>
          </cell>
        </row>
        <row r="182">
          <cell r="I182" t="str">
            <v>RH-3</v>
          </cell>
          <cell r="J182">
            <v>1</v>
          </cell>
        </row>
        <row r="187">
          <cell r="J187">
            <v>1</v>
          </cell>
        </row>
        <row r="188">
          <cell r="I188" t="str">
            <v>ML7284</v>
          </cell>
          <cell r="J188">
            <v>1</v>
          </cell>
        </row>
        <row r="189">
          <cell r="I189" t="str">
            <v>ML7284</v>
          </cell>
          <cell r="J189">
            <v>1</v>
          </cell>
        </row>
        <row r="191">
          <cell r="K191" t="str">
            <v>XL50C</v>
          </cell>
          <cell r="L191">
            <v>1</v>
          </cell>
        </row>
        <row r="194">
          <cell r="I194" t="str">
            <v>H7015B1015</v>
          </cell>
          <cell r="J194">
            <v>2</v>
          </cell>
        </row>
        <row r="195">
          <cell r="I195" t="str">
            <v>T7411E</v>
          </cell>
          <cell r="J195">
            <v>2</v>
          </cell>
        </row>
        <row r="196">
          <cell r="I196" t="str">
            <v>RH-3</v>
          </cell>
          <cell r="J196">
            <v>4</v>
          </cell>
        </row>
        <row r="197">
          <cell r="I197" t="str">
            <v>L480G</v>
          </cell>
          <cell r="J197">
            <v>2</v>
          </cell>
        </row>
        <row r="198">
          <cell r="I198" t="str">
            <v>RH-3</v>
          </cell>
          <cell r="J198">
            <v>2</v>
          </cell>
        </row>
        <row r="203">
          <cell r="J203">
            <v>2</v>
          </cell>
        </row>
        <row r="204">
          <cell r="I204" t="str">
            <v>ML7284</v>
          </cell>
          <cell r="J204">
            <v>2</v>
          </cell>
        </row>
        <row r="205">
          <cell r="I205" t="str">
            <v>ML7284</v>
          </cell>
          <cell r="J205">
            <v>2</v>
          </cell>
        </row>
        <row r="207">
          <cell r="K207" t="str">
            <v>XL50C</v>
          </cell>
          <cell r="L207">
            <v>2</v>
          </cell>
        </row>
        <row r="210">
          <cell r="I210" t="str">
            <v>H7015B1015</v>
          </cell>
          <cell r="J210">
            <v>2</v>
          </cell>
        </row>
        <row r="211">
          <cell r="I211" t="str">
            <v>T7411E</v>
          </cell>
          <cell r="J211">
            <v>2</v>
          </cell>
        </row>
        <row r="212">
          <cell r="I212" t="str">
            <v>RH-3</v>
          </cell>
          <cell r="J212">
            <v>4</v>
          </cell>
        </row>
        <row r="213">
          <cell r="I213" t="str">
            <v>L480G</v>
          </cell>
          <cell r="J213">
            <v>2</v>
          </cell>
        </row>
        <row r="214">
          <cell r="I214" t="str">
            <v>RH-3</v>
          </cell>
          <cell r="J214">
            <v>2</v>
          </cell>
        </row>
        <row r="219">
          <cell r="J219">
            <v>2</v>
          </cell>
        </row>
        <row r="220">
          <cell r="I220" t="str">
            <v>ML7284</v>
          </cell>
          <cell r="J220">
            <v>2</v>
          </cell>
        </row>
        <row r="221">
          <cell r="I221" t="str">
            <v>ML7284</v>
          </cell>
          <cell r="J221">
            <v>2</v>
          </cell>
        </row>
        <row r="223">
          <cell r="K223" t="str">
            <v>XL50C</v>
          </cell>
          <cell r="L223">
            <v>2</v>
          </cell>
        </row>
        <row r="226">
          <cell r="I226" t="str">
            <v>H7015B1015</v>
          </cell>
          <cell r="J226">
            <v>1</v>
          </cell>
        </row>
        <row r="227">
          <cell r="I227" t="str">
            <v>T7411E</v>
          </cell>
          <cell r="J227">
            <v>1</v>
          </cell>
        </row>
        <row r="228">
          <cell r="I228" t="str">
            <v>RH-3</v>
          </cell>
          <cell r="J228">
            <v>2</v>
          </cell>
        </row>
        <row r="229">
          <cell r="I229" t="str">
            <v>L480G</v>
          </cell>
          <cell r="J229">
            <v>1</v>
          </cell>
        </row>
        <row r="230">
          <cell r="I230" t="str">
            <v>RH-3</v>
          </cell>
          <cell r="J230">
            <v>1</v>
          </cell>
        </row>
        <row r="235">
          <cell r="J235">
            <v>1</v>
          </cell>
        </row>
        <row r="236">
          <cell r="I236" t="str">
            <v>ML7284</v>
          </cell>
          <cell r="J236">
            <v>1</v>
          </cell>
        </row>
        <row r="237">
          <cell r="I237" t="str">
            <v>ML7284</v>
          </cell>
          <cell r="J237">
            <v>1</v>
          </cell>
        </row>
        <row r="239">
          <cell r="K239" t="str">
            <v>XL50C</v>
          </cell>
          <cell r="L239">
            <v>1</v>
          </cell>
        </row>
        <row r="242">
          <cell r="I242" t="str">
            <v>H7015B1015</v>
          </cell>
          <cell r="J242">
            <v>1</v>
          </cell>
        </row>
        <row r="243">
          <cell r="I243" t="str">
            <v>T7411E</v>
          </cell>
          <cell r="J243">
            <v>1</v>
          </cell>
        </row>
        <row r="244">
          <cell r="I244" t="str">
            <v>RH-3</v>
          </cell>
          <cell r="J244">
            <v>2</v>
          </cell>
        </row>
        <row r="245">
          <cell r="I245" t="str">
            <v>L480G</v>
          </cell>
          <cell r="J245">
            <v>1</v>
          </cell>
        </row>
        <row r="246">
          <cell r="I246" t="str">
            <v>RH-3</v>
          </cell>
          <cell r="J246">
            <v>1</v>
          </cell>
        </row>
        <row r="251">
          <cell r="J251">
            <v>1</v>
          </cell>
        </row>
        <row r="252">
          <cell r="I252" t="str">
            <v>ML7284</v>
          </cell>
          <cell r="J252">
            <v>1</v>
          </cell>
        </row>
        <row r="253">
          <cell r="I253" t="str">
            <v>ML7284</v>
          </cell>
          <cell r="J253">
            <v>1</v>
          </cell>
        </row>
        <row r="255">
          <cell r="K255" t="str">
            <v>XL50C</v>
          </cell>
          <cell r="L255">
            <v>1</v>
          </cell>
        </row>
        <row r="258">
          <cell r="I258" t="str">
            <v>H7015B1015</v>
          </cell>
          <cell r="J258">
            <v>2</v>
          </cell>
        </row>
        <row r="259">
          <cell r="I259" t="str">
            <v>T7411E</v>
          </cell>
          <cell r="J259">
            <v>2</v>
          </cell>
        </row>
        <row r="260">
          <cell r="I260" t="str">
            <v>RH-3</v>
          </cell>
          <cell r="J260">
            <v>4</v>
          </cell>
        </row>
        <row r="261">
          <cell r="I261" t="str">
            <v>L480G</v>
          </cell>
          <cell r="J261">
            <v>2</v>
          </cell>
        </row>
        <row r="262">
          <cell r="I262" t="str">
            <v>RH-3</v>
          </cell>
          <cell r="J262">
            <v>2</v>
          </cell>
        </row>
        <row r="267">
          <cell r="J267">
            <v>2</v>
          </cell>
        </row>
        <row r="268">
          <cell r="I268" t="str">
            <v>ML7284</v>
          </cell>
          <cell r="J268">
            <v>2</v>
          </cell>
        </row>
        <row r="269">
          <cell r="I269" t="str">
            <v>ML7284</v>
          </cell>
          <cell r="J269">
            <v>2</v>
          </cell>
        </row>
        <row r="271">
          <cell r="K271" t="str">
            <v>XL50C</v>
          </cell>
          <cell r="L271">
            <v>2</v>
          </cell>
        </row>
        <row r="274">
          <cell r="I274" t="str">
            <v>H7015B1015</v>
          </cell>
          <cell r="J274">
            <v>1</v>
          </cell>
        </row>
        <row r="275">
          <cell r="I275" t="str">
            <v>T7411E</v>
          </cell>
          <cell r="J275">
            <v>1</v>
          </cell>
        </row>
        <row r="276">
          <cell r="I276" t="str">
            <v>RH-3</v>
          </cell>
          <cell r="J276">
            <v>2</v>
          </cell>
        </row>
        <row r="277">
          <cell r="I277" t="str">
            <v>L480G</v>
          </cell>
          <cell r="J277">
            <v>1</v>
          </cell>
        </row>
        <row r="278">
          <cell r="I278" t="str">
            <v>RH-3</v>
          </cell>
          <cell r="J278">
            <v>1</v>
          </cell>
        </row>
        <row r="283">
          <cell r="J283">
            <v>1</v>
          </cell>
        </row>
        <row r="284">
          <cell r="I284" t="str">
            <v>ML7284</v>
          </cell>
          <cell r="J284">
            <v>1</v>
          </cell>
        </row>
        <row r="285">
          <cell r="I285" t="str">
            <v>ML7284</v>
          </cell>
          <cell r="J285">
            <v>1</v>
          </cell>
        </row>
        <row r="287">
          <cell r="K287" t="str">
            <v>XL50C</v>
          </cell>
          <cell r="L287">
            <v>1</v>
          </cell>
        </row>
        <row r="290">
          <cell r="I290" t="str">
            <v>H7015B1015</v>
          </cell>
          <cell r="J290">
            <v>1</v>
          </cell>
        </row>
        <row r="291">
          <cell r="I291" t="str">
            <v>T7411E</v>
          </cell>
          <cell r="J291">
            <v>1</v>
          </cell>
        </row>
        <row r="292">
          <cell r="I292" t="str">
            <v>RH-3</v>
          </cell>
          <cell r="J292">
            <v>2</v>
          </cell>
        </row>
        <row r="293">
          <cell r="I293" t="str">
            <v>L480G</v>
          </cell>
          <cell r="J293">
            <v>1</v>
          </cell>
        </row>
        <row r="294">
          <cell r="I294" t="str">
            <v>RH-3</v>
          </cell>
          <cell r="J294">
            <v>1</v>
          </cell>
        </row>
        <row r="299">
          <cell r="J299">
            <v>1</v>
          </cell>
        </row>
        <row r="300">
          <cell r="I300" t="str">
            <v>ML7284</v>
          </cell>
          <cell r="J300">
            <v>1</v>
          </cell>
        </row>
        <row r="301">
          <cell r="I301" t="str">
            <v>ML7284</v>
          </cell>
          <cell r="J301">
            <v>1</v>
          </cell>
        </row>
        <row r="303">
          <cell r="K303" t="str">
            <v>XL50C</v>
          </cell>
          <cell r="L303">
            <v>1</v>
          </cell>
        </row>
        <row r="306">
          <cell r="I306" t="str">
            <v>H7015B1015</v>
          </cell>
          <cell r="J306">
            <v>2</v>
          </cell>
        </row>
        <row r="307">
          <cell r="I307" t="str">
            <v>T7411E</v>
          </cell>
          <cell r="J307">
            <v>2</v>
          </cell>
        </row>
        <row r="308">
          <cell r="I308" t="str">
            <v>RH-3</v>
          </cell>
          <cell r="J308">
            <v>4</v>
          </cell>
        </row>
        <row r="309">
          <cell r="I309" t="str">
            <v>L480G</v>
          </cell>
          <cell r="J309">
            <v>2</v>
          </cell>
        </row>
        <row r="310">
          <cell r="I310" t="str">
            <v>RH-3</v>
          </cell>
          <cell r="J310">
            <v>2</v>
          </cell>
        </row>
        <row r="315">
          <cell r="J315">
            <v>2</v>
          </cell>
        </row>
        <row r="316">
          <cell r="I316" t="str">
            <v>ML7284</v>
          </cell>
          <cell r="J316">
            <v>2</v>
          </cell>
        </row>
        <row r="317">
          <cell r="I317" t="str">
            <v>ML7284</v>
          </cell>
          <cell r="J317">
            <v>2</v>
          </cell>
        </row>
        <row r="319">
          <cell r="K319" t="str">
            <v>XL50C</v>
          </cell>
          <cell r="L319">
            <v>2</v>
          </cell>
        </row>
        <row r="322">
          <cell r="I322" t="str">
            <v>H7015B1015</v>
          </cell>
          <cell r="J322">
            <v>2</v>
          </cell>
        </row>
        <row r="323">
          <cell r="I323" t="str">
            <v>T7411E</v>
          </cell>
          <cell r="J323">
            <v>2</v>
          </cell>
        </row>
        <row r="324">
          <cell r="I324" t="str">
            <v>RH-3</v>
          </cell>
          <cell r="J324">
            <v>4</v>
          </cell>
        </row>
        <row r="325">
          <cell r="I325" t="str">
            <v>L480G</v>
          </cell>
          <cell r="J325">
            <v>2</v>
          </cell>
        </row>
        <row r="326">
          <cell r="I326" t="str">
            <v>RH-3</v>
          </cell>
          <cell r="J326">
            <v>2</v>
          </cell>
        </row>
        <row r="331">
          <cell r="J331">
            <v>2</v>
          </cell>
        </row>
        <row r="332">
          <cell r="I332" t="str">
            <v>ML7284</v>
          </cell>
          <cell r="J332">
            <v>2</v>
          </cell>
        </row>
        <row r="333">
          <cell r="I333" t="str">
            <v>ML7284</v>
          </cell>
          <cell r="J333">
            <v>2</v>
          </cell>
        </row>
        <row r="335">
          <cell r="K335" t="str">
            <v>XL50C</v>
          </cell>
          <cell r="L335">
            <v>2</v>
          </cell>
        </row>
        <row r="338">
          <cell r="I338" t="str">
            <v>H7015B1015</v>
          </cell>
          <cell r="J338">
            <v>2</v>
          </cell>
        </row>
        <row r="339">
          <cell r="I339" t="str">
            <v>T7411E</v>
          </cell>
          <cell r="J339">
            <v>2</v>
          </cell>
        </row>
        <row r="340">
          <cell r="I340" t="str">
            <v>RH-3</v>
          </cell>
          <cell r="J340">
            <v>4</v>
          </cell>
        </row>
        <row r="341">
          <cell r="I341" t="str">
            <v>L480G</v>
          </cell>
          <cell r="J341">
            <v>2</v>
          </cell>
        </row>
        <row r="342">
          <cell r="I342" t="str">
            <v>RH-3</v>
          </cell>
          <cell r="J342">
            <v>2</v>
          </cell>
        </row>
        <row r="347">
          <cell r="J347">
            <v>2</v>
          </cell>
        </row>
        <row r="348">
          <cell r="I348" t="str">
            <v>ML7284</v>
          </cell>
          <cell r="J348">
            <v>2</v>
          </cell>
        </row>
        <row r="349">
          <cell r="I349" t="str">
            <v>ML7284</v>
          </cell>
          <cell r="J349">
            <v>2</v>
          </cell>
        </row>
        <row r="351">
          <cell r="K351" t="str">
            <v>XL50C</v>
          </cell>
          <cell r="L351">
            <v>2</v>
          </cell>
        </row>
        <row r="354">
          <cell r="I354" t="str">
            <v>H7015B1015</v>
          </cell>
          <cell r="J354">
            <v>2</v>
          </cell>
        </row>
        <row r="355">
          <cell r="I355" t="str">
            <v>RH-3</v>
          </cell>
          <cell r="J355">
            <v>2</v>
          </cell>
        </row>
        <row r="356">
          <cell r="I356" t="str">
            <v>L480G</v>
          </cell>
          <cell r="J356">
            <v>2</v>
          </cell>
        </row>
        <row r="357">
          <cell r="I357" t="str">
            <v>RH-3</v>
          </cell>
          <cell r="J357">
            <v>2</v>
          </cell>
        </row>
        <row r="361">
          <cell r="J361">
            <v>2</v>
          </cell>
        </row>
        <row r="362">
          <cell r="I362" t="str">
            <v>ML6184</v>
          </cell>
          <cell r="J362">
            <v>2</v>
          </cell>
        </row>
        <row r="364">
          <cell r="K364" t="str">
            <v>XL50C</v>
          </cell>
          <cell r="L364">
            <v>1</v>
          </cell>
        </row>
        <row r="377">
          <cell r="K377" t="str">
            <v>XL50C</v>
          </cell>
          <cell r="L377">
            <v>4</v>
          </cell>
        </row>
      </sheetData>
      <sheetData sheetId="1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点表"/>
      <sheetName val="priceD"/>
      <sheetName val="Sheet2"/>
      <sheetName val="Sheet3"/>
    </sheetNames>
    <sheetDataSet>
      <sheetData sheetId="0">
        <row r="4">
          <cell r="I4" t="str">
            <v>元件型号</v>
          </cell>
          <cell r="J4" t="str">
            <v>数量</v>
          </cell>
        </row>
        <row r="7">
          <cell r="I7" t="str">
            <v>H7508A1026</v>
          </cell>
          <cell r="J7">
            <v>1</v>
          </cell>
        </row>
        <row r="10">
          <cell r="I10" t="str">
            <v>H7015B1015</v>
          </cell>
          <cell r="J10">
            <v>38</v>
          </cell>
        </row>
        <row r="12">
          <cell r="I12" t="str">
            <v>H7015B1015</v>
          </cell>
          <cell r="J12">
            <v>38</v>
          </cell>
        </row>
        <row r="14">
          <cell r="I14" t="str">
            <v>DPS</v>
          </cell>
          <cell r="J14">
            <v>38</v>
          </cell>
        </row>
        <row r="15">
          <cell r="I15" t="str">
            <v>T6951A1025</v>
          </cell>
          <cell r="J15">
            <v>38</v>
          </cell>
        </row>
        <row r="23">
          <cell r="I23" t="str">
            <v>ML7174</v>
          </cell>
          <cell r="J23">
            <v>38</v>
          </cell>
        </row>
        <row r="24">
          <cell r="I24" t="str">
            <v>ML7174</v>
          </cell>
          <cell r="J24">
            <v>38</v>
          </cell>
        </row>
        <row r="26">
          <cell r="I26" t="str">
            <v>XL50</v>
          </cell>
          <cell r="J26">
            <v>38</v>
          </cell>
        </row>
        <row r="31">
          <cell r="I31" t="str">
            <v>XL500</v>
          </cell>
          <cell r="J31">
            <v>1</v>
          </cell>
        </row>
        <row r="32">
          <cell r="I32" t="str">
            <v>XSL511</v>
          </cell>
          <cell r="J32">
            <v>2</v>
          </cell>
        </row>
        <row r="33">
          <cell r="I33" t="str">
            <v>XFL523B</v>
          </cell>
          <cell r="J33">
            <v>2</v>
          </cell>
        </row>
        <row r="34">
          <cell r="I34" t="str">
            <v>XFL524B</v>
          </cell>
          <cell r="J34">
            <v>2</v>
          </cell>
        </row>
        <row r="41">
          <cell r="I41" t="str">
            <v>VF20T</v>
          </cell>
          <cell r="J41">
            <v>1</v>
          </cell>
        </row>
        <row r="42">
          <cell r="I42" t="str">
            <v>VF20T</v>
          </cell>
          <cell r="J42">
            <v>1</v>
          </cell>
        </row>
        <row r="43">
          <cell r="I43" t="str">
            <v>VF20T</v>
          </cell>
          <cell r="J43">
            <v>1</v>
          </cell>
        </row>
        <row r="44">
          <cell r="I44" t="str">
            <v>VF20T</v>
          </cell>
          <cell r="J44">
            <v>1</v>
          </cell>
        </row>
        <row r="45">
          <cell r="I45" t="str">
            <v>2517+8550</v>
          </cell>
          <cell r="J45">
            <v>1</v>
          </cell>
        </row>
        <row r="46">
          <cell r="I46" t="str">
            <v>242PC</v>
          </cell>
          <cell r="J46">
            <v>1</v>
          </cell>
        </row>
        <row r="47">
          <cell r="I47" t="str">
            <v>242PC</v>
          </cell>
          <cell r="J47">
            <v>1</v>
          </cell>
        </row>
        <row r="70">
          <cell r="I70" t="str">
            <v>VF20T</v>
          </cell>
          <cell r="J70">
            <v>3</v>
          </cell>
        </row>
        <row r="71">
          <cell r="I71" t="str">
            <v>VF20T</v>
          </cell>
          <cell r="J71">
            <v>3</v>
          </cell>
        </row>
        <row r="72">
          <cell r="I72" t="str">
            <v>VF20T</v>
          </cell>
          <cell r="J72">
            <v>3</v>
          </cell>
        </row>
        <row r="73">
          <cell r="I73" t="str">
            <v>VF20T</v>
          </cell>
          <cell r="J73">
            <v>3</v>
          </cell>
        </row>
        <row r="80">
          <cell r="I80" t="str">
            <v>VF20T</v>
          </cell>
          <cell r="J80">
            <v>1</v>
          </cell>
        </row>
        <row r="81">
          <cell r="I81" t="str">
            <v>VF20T</v>
          </cell>
          <cell r="J81">
            <v>1</v>
          </cell>
        </row>
        <row r="82">
          <cell r="I82" t="str">
            <v>VF20T</v>
          </cell>
          <cell r="J82">
            <v>1</v>
          </cell>
        </row>
        <row r="83">
          <cell r="I83" t="str">
            <v>VF20T</v>
          </cell>
          <cell r="J83">
            <v>1</v>
          </cell>
        </row>
        <row r="84">
          <cell r="I84" t="str">
            <v>2517+8550</v>
          </cell>
          <cell r="J84">
            <v>1</v>
          </cell>
        </row>
        <row r="85">
          <cell r="I85" t="str">
            <v>242PC</v>
          </cell>
          <cell r="J85">
            <v>1</v>
          </cell>
        </row>
        <row r="86">
          <cell r="I86" t="str">
            <v>242PC</v>
          </cell>
          <cell r="J86">
            <v>1</v>
          </cell>
        </row>
        <row r="109">
          <cell r="I109" t="str">
            <v>VF20T</v>
          </cell>
          <cell r="J109">
            <v>3</v>
          </cell>
        </row>
        <row r="110">
          <cell r="I110" t="str">
            <v>VF20T</v>
          </cell>
          <cell r="J110">
            <v>3</v>
          </cell>
        </row>
        <row r="111">
          <cell r="I111" t="str">
            <v>VF20T</v>
          </cell>
          <cell r="J111">
            <v>3</v>
          </cell>
        </row>
        <row r="112">
          <cell r="I112" t="str">
            <v>VF20T</v>
          </cell>
          <cell r="J112">
            <v>3</v>
          </cell>
        </row>
        <row r="114">
          <cell r="I114" t="str">
            <v>XL500</v>
          </cell>
          <cell r="J114">
            <v>1</v>
          </cell>
        </row>
        <row r="115">
          <cell r="I115" t="str">
            <v>XF521</v>
          </cell>
          <cell r="J115">
            <v>5</v>
          </cell>
        </row>
        <row r="116">
          <cell r="I116" t="str">
            <v>XF522</v>
          </cell>
          <cell r="J116">
            <v>2</v>
          </cell>
        </row>
        <row r="117">
          <cell r="I117" t="str">
            <v>XF523</v>
          </cell>
          <cell r="J117">
            <v>5</v>
          </cell>
        </row>
        <row r="118">
          <cell r="I118" t="str">
            <v>XF524</v>
          </cell>
          <cell r="J118">
            <v>5</v>
          </cell>
        </row>
        <row r="124">
          <cell r="I124" t="str">
            <v>VF20T</v>
          </cell>
          <cell r="J124">
            <v>1</v>
          </cell>
        </row>
        <row r="125">
          <cell r="I125" t="str">
            <v>VF20T</v>
          </cell>
          <cell r="J125">
            <v>1</v>
          </cell>
        </row>
        <row r="126">
          <cell r="I126" t="str">
            <v>VF20T</v>
          </cell>
          <cell r="J126">
            <v>1</v>
          </cell>
        </row>
        <row r="127">
          <cell r="I127" t="str">
            <v>VF20T</v>
          </cell>
          <cell r="J127">
            <v>1</v>
          </cell>
        </row>
        <row r="128">
          <cell r="I128" t="str">
            <v>2517+8550</v>
          </cell>
          <cell r="J128">
            <v>1</v>
          </cell>
        </row>
        <row r="129">
          <cell r="I129" t="str">
            <v>242PC</v>
          </cell>
          <cell r="J129">
            <v>1</v>
          </cell>
        </row>
        <row r="130">
          <cell r="I130" t="str">
            <v>242PC</v>
          </cell>
          <cell r="J130">
            <v>1</v>
          </cell>
        </row>
        <row r="153">
          <cell r="I153" t="str">
            <v>VF20T</v>
          </cell>
          <cell r="J153">
            <v>3</v>
          </cell>
        </row>
        <row r="154">
          <cell r="I154" t="str">
            <v>VF20T</v>
          </cell>
          <cell r="J154">
            <v>3</v>
          </cell>
        </row>
        <row r="155">
          <cell r="I155" t="str">
            <v>VF20T</v>
          </cell>
          <cell r="J155">
            <v>3</v>
          </cell>
        </row>
        <row r="156">
          <cell r="I156" t="str">
            <v>VF20T</v>
          </cell>
          <cell r="J156">
            <v>3</v>
          </cell>
        </row>
        <row r="159">
          <cell r="I159" t="str">
            <v>VF20T</v>
          </cell>
          <cell r="J159">
            <v>3</v>
          </cell>
        </row>
        <row r="160">
          <cell r="I160" t="str">
            <v>VF20T</v>
          </cell>
          <cell r="J160">
            <v>3</v>
          </cell>
        </row>
        <row r="161">
          <cell r="I161" t="str">
            <v>VF20T</v>
          </cell>
          <cell r="J161">
            <v>3</v>
          </cell>
        </row>
        <row r="162">
          <cell r="I162" t="str">
            <v>VF20T</v>
          </cell>
          <cell r="J162">
            <v>3</v>
          </cell>
        </row>
        <row r="172">
          <cell r="I172" t="str">
            <v>XL500</v>
          </cell>
          <cell r="J172">
            <v>1</v>
          </cell>
        </row>
        <row r="173">
          <cell r="I173" t="str">
            <v>XF521</v>
          </cell>
          <cell r="J173">
            <v>4</v>
          </cell>
        </row>
        <row r="174">
          <cell r="I174" t="str">
            <v>XF522</v>
          </cell>
          <cell r="J174">
            <v>2</v>
          </cell>
        </row>
        <row r="175">
          <cell r="I175" t="str">
            <v>XF523</v>
          </cell>
          <cell r="J175">
            <v>5</v>
          </cell>
        </row>
        <row r="176">
          <cell r="I176" t="str">
            <v>XF524</v>
          </cell>
          <cell r="J176">
            <v>4</v>
          </cell>
        </row>
        <row r="178">
          <cell r="I178" t="str">
            <v>H7508A1026</v>
          </cell>
          <cell r="J178">
            <v>1</v>
          </cell>
        </row>
        <row r="181">
          <cell r="I181" t="str">
            <v>H7015B1015</v>
          </cell>
          <cell r="J181">
            <v>10</v>
          </cell>
        </row>
        <row r="183">
          <cell r="I183" t="str">
            <v>H7015B1015</v>
          </cell>
          <cell r="J183">
            <v>10</v>
          </cell>
        </row>
        <row r="185">
          <cell r="I185" t="str">
            <v>DPS</v>
          </cell>
          <cell r="J185">
            <v>10</v>
          </cell>
        </row>
        <row r="186">
          <cell r="I186" t="str">
            <v>T6951A1025</v>
          </cell>
          <cell r="J186">
            <v>10</v>
          </cell>
        </row>
        <row r="194">
          <cell r="I194" t="str">
            <v>ML7174</v>
          </cell>
          <cell r="J194">
            <v>10</v>
          </cell>
        </row>
        <row r="195">
          <cell r="I195" t="str">
            <v>ML7174</v>
          </cell>
          <cell r="J195">
            <v>10</v>
          </cell>
        </row>
        <row r="197">
          <cell r="I197" t="str">
            <v>XL50</v>
          </cell>
          <cell r="J197">
            <v>10</v>
          </cell>
        </row>
        <row r="203">
          <cell r="I203" t="str">
            <v>XSL511</v>
          </cell>
          <cell r="J203">
            <v>4</v>
          </cell>
        </row>
        <row r="204">
          <cell r="I204" t="str">
            <v>XFL523B</v>
          </cell>
          <cell r="J204">
            <v>4</v>
          </cell>
        </row>
        <row r="205">
          <cell r="I205" t="str">
            <v>XFL524B</v>
          </cell>
          <cell r="J205">
            <v>4</v>
          </cell>
        </row>
        <row r="207">
          <cell r="I207" t="str">
            <v>H7508A1026</v>
          </cell>
          <cell r="J207">
            <v>1</v>
          </cell>
        </row>
        <row r="210">
          <cell r="I210" t="str">
            <v>H7015B1015</v>
          </cell>
          <cell r="J210">
            <v>18</v>
          </cell>
        </row>
        <row r="212">
          <cell r="I212" t="str">
            <v>H7015B1015</v>
          </cell>
          <cell r="J212">
            <v>18</v>
          </cell>
        </row>
        <row r="214">
          <cell r="I214" t="str">
            <v>DPS</v>
          </cell>
          <cell r="J214">
            <v>18</v>
          </cell>
        </row>
        <row r="215">
          <cell r="I215" t="str">
            <v>T6951A1025</v>
          </cell>
          <cell r="J215">
            <v>18</v>
          </cell>
        </row>
        <row r="223">
          <cell r="I223" t="str">
            <v>ML7174</v>
          </cell>
          <cell r="J223">
            <v>18</v>
          </cell>
        </row>
        <row r="224">
          <cell r="I224" t="str">
            <v>ML7174</v>
          </cell>
          <cell r="J224">
            <v>18</v>
          </cell>
        </row>
        <row r="226">
          <cell r="I226" t="str">
            <v>XL50</v>
          </cell>
          <cell r="J226">
            <v>18</v>
          </cell>
        </row>
        <row r="232">
          <cell r="I232" t="str">
            <v>XSL511</v>
          </cell>
          <cell r="J232">
            <v>2</v>
          </cell>
        </row>
        <row r="233">
          <cell r="I233" t="str">
            <v>XFL523B</v>
          </cell>
          <cell r="J233">
            <v>2</v>
          </cell>
        </row>
        <row r="234">
          <cell r="I234" t="str">
            <v>XFL524B</v>
          </cell>
          <cell r="J234">
            <v>2</v>
          </cell>
        </row>
        <row r="237">
          <cell r="I237" t="str">
            <v>H7015B1015</v>
          </cell>
          <cell r="J237">
            <v>6</v>
          </cell>
        </row>
        <row r="239">
          <cell r="I239" t="str">
            <v>DPS</v>
          </cell>
          <cell r="J239">
            <v>6</v>
          </cell>
        </row>
        <row r="240">
          <cell r="I240" t="str">
            <v>T6951A1025</v>
          </cell>
          <cell r="J240">
            <v>6</v>
          </cell>
        </row>
        <row r="246">
          <cell r="I246" t="str">
            <v>ML6174</v>
          </cell>
          <cell r="J246">
            <v>6</v>
          </cell>
        </row>
        <row r="248">
          <cell r="I248" t="str">
            <v>XL50</v>
          </cell>
          <cell r="J248">
            <v>3</v>
          </cell>
        </row>
        <row r="250">
          <cell r="I250" t="str">
            <v>H7508A1026</v>
          </cell>
          <cell r="J250">
            <v>1</v>
          </cell>
        </row>
        <row r="253">
          <cell r="I253" t="str">
            <v>H7015B1015</v>
          </cell>
          <cell r="J253">
            <v>21</v>
          </cell>
        </row>
        <row r="255">
          <cell r="I255" t="str">
            <v>H7015B1015</v>
          </cell>
          <cell r="J255">
            <v>21</v>
          </cell>
        </row>
        <row r="257">
          <cell r="I257" t="str">
            <v>DPS</v>
          </cell>
          <cell r="J257">
            <v>21</v>
          </cell>
        </row>
        <row r="258">
          <cell r="I258" t="str">
            <v>T6951A1025</v>
          </cell>
          <cell r="J258">
            <v>21</v>
          </cell>
        </row>
        <row r="266">
          <cell r="I266" t="str">
            <v>ML7174</v>
          </cell>
          <cell r="J266">
            <v>21</v>
          </cell>
        </row>
        <row r="267">
          <cell r="I267" t="str">
            <v>ML7174</v>
          </cell>
          <cell r="J267">
            <v>21</v>
          </cell>
        </row>
        <row r="269">
          <cell r="I269" t="str">
            <v>XL50</v>
          </cell>
          <cell r="J269">
            <v>21</v>
          </cell>
        </row>
        <row r="275">
          <cell r="I275" t="str">
            <v>XSL511</v>
          </cell>
          <cell r="J275">
            <v>2</v>
          </cell>
        </row>
        <row r="276">
          <cell r="I276" t="str">
            <v>XFL523B</v>
          </cell>
          <cell r="J276">
            <v>2</v>
          </cell>
        </row>
        <row r="277">
          <cell r="I277" t="str">
            <v>XFL524B</v>
          </cell>
          <cell r="J277">
            <v>2</v>
          </cell>
        </row>
        <row r="282">
          <cell r="I282" t="str">
            <v>VF20T</v>
          </cell>
          <cell r="J282">
            <v>2</v>
          </cell>
        </row>
        <row r="283">
          <cell r="I283" t="str">
            <v>VF20T</v>
          </cell>
          <cell r="J283">
            <v>2</v>
          </cell>
        </row>
        <row r="284">
          <cell r="I284" t="str">
            <v>VF20T</v>
          </cell>
          <cell r="J284">
            <v>2</v>
          </cell>
        </row>
        <row r="285">
          <cell r="I285" t="str">
            <v>VF20T</v>
          </cell>
          <cell r="J285">
            <v>2</v>
          </cell>
        </row>
        <row r="286">
          <cell r="I286" t="str">
            <v>2517+8550</v>
          </cell>
          <cell r="J286">
            <v>2</v>
          </cell>
        </row>
        <row r="287">
          <cell r="I287" t="str">
            <v>242PC</v>
          </cell>
          <cell r="J287">
            <v>2</v>
          </cell>
        </row>
        <row r="288">
          <cell r="I288" t="str">
            <v>242PC</v>
          </cell>
          <cell r="J288">
            <v>2</v>
          </cell>
        </row>
        <row r="289">
          <cell r="J289">
            <v>2</v>
          </cell>
        </row>
        <row r="311">
          <cell r="I311" t="str">
            <v>VF20T</v>
          </cell>
          <cell r="J311">
            <v>2</v>
          </cell>
        </row>
        <row r="312">
          <cell r="I312" t="str">
            <v>VF20T</v>
          </cell>
          <cell r="J312">
            <v>2</v>
          </cell>
        </row>
        <row r="313">
          <cell r="I313" t="str">
            <v>VF20T</v>
          </cell>
          <cell r="J313">
            <v>2</v>
          </cell>
        </row>
        <row r="314">
          <cell r="I314" t="str">
            <v>VF20T</v>
          </cell>
          <cell r="J314">
            <v>2</v>
          </cell>
        </row>
        <row r="316">
          <cell r="I316" t="str">
            <v>XL500</v>
          </cell>
          <cell r="J316">
            <v>1</v>
          </cell>
        </row>
        <row r="317">
          <cell r="I317" t="str">
            <v>XF521</v>
          </cell>
          <cell r="J317">
            <v>3</v>
          </cell>
        </row>
        <row r="318">
          <cell r="I318" t="str">
            <v>XF522</v>
          </cell>
          <cell r="J318">
            <v>1</v>
          </cell>
        </row>
        <row r="319">
          <cell r="I319" t="str">
            <v>XF523</v>
          </cell>
          <cell r="J319">
            <v>5</v>
          </cell>
        </row>
        <row r="320">
          <cell r="I320" t="str">
            <v>XF524</v>
          </cell>
          <cell r="J320">
            <v>4</v>
          </cell>
        </row>
        <row r="323">
          <cell r="I323" t="str">
            <v>H7015B1015</v>
          </cell>
          <cell r="J323">
            <v>7</v>
          </cell>
        </row>
        <row r="325">
          <cell r="I325" t="str">
            <v>DPS</v>
          </cell>
          <cell r="J325">
            <v>7</v>
          </cell>
        </row>
        <row r="326">
          <cell r="I326" t="str">
            <v>T6951A1025</v>
          </cell>
          <cell r="J326">
            <v>7</v>
          </cell>
        </row>
        <row r="332">
          <cell r="I332" t="str">
            <v>ML6174</v>
          </cell>
          <cell r="J332">
            <v>7</v>
          </cell>
        </row>
        <row r="334">
          <cell r="I334" t="str">
            <v>XL50</v>
          </cell>
          <cell r="J334">
            <v>4</v>
          </cell>
        </row>
        <row r="336">
          <cell r="I336" t="str">
            <v>H7508A1026</v>
          </cell>
          <cell r="J336">
            <v>1</v>
          </cell>
        </row>
        <row r="339">
          <cell r="I339" t="str">
            <v>H7015B1015</v>
          </cell>
          <cell r="J339">
            <v>23</v>
          </cell>
        </row>
        <row r="341">
          <cell r="I341" t="str">
            <v>H7015B1015</v>
          </cell>
          <cell r="J341">
            <v>23</v>
          </cell>
        </row>
        <row r="343">
          <cell r="I343" t="str">
            <v>DPS</v>
          </cell>
          <cell r="J343">
            <v>23</v>
          </cell>
        </row>
        <row r="344">
          <cell r="I344" t="str">
            <v>T6951A1025</v>
          </cell>
          <cell r="J344">
            <v>23</v>
          </cell>
        </row>
        <row r="352">
          <cell r="I352" t="str">
            <v>ML7174</v>
          </cell>
          <cell r="J352">
            <v>23</v>
          </cell>
        </row>
        <row r="353">
          <cell r="I353" t="str">
            <v>ML7174</v>
          </cell>
          <cell r="J353">
            <v>23</v>
          </cell>
        </row>
        <row r="355">
          <cell r="I355" t="str">
            <v>XL50</v>
          </cell>
          <cell r="J355">
            <v>23</v>
          </cell>
        </row>
        <row r="361">
          <cell r="I361" t="str">
            <v>XSL511</v>
          </cell>
          <cell r="J361">
            <v>3</v>
          </cell>
        </row>
        <row r="362">
          <cell r="I362" t="str">
            <v>XFL523B</v>
          </cell>
          <cell r="J362">
            <v>3</v>
          </cell>
        </row>
        <row r="363">
          <cell r="I363" t="str">
            <v>XFL524B</v>
          </cell>
          <cell r="J363">
            <v>3</v>
          </cell>
        </row>
        <row r="368">
          <cell r="I368" t="str">
            <v>VF20T</v>
          </cell>
          <cell r="J368">
            <v>1</v>
          </cell>
        </row>
        <row r="369">
          <cell r="I369" t="str">
            <v>VF20T</v>
          </cell>
          <cell r="J369">
            <v>1</v>
          </cell>
        </row>
        <row r="370">
          <cell r="I370" t="str">
            <v>VF20T</v>
          </cell>
          <cell r="J370">
            <v>1</v>
          </cell>
        </row>
        <row r="371">
          <cell r="I371" t="str">
            <v>VF20T</v>
          </cell>
          <cell r="J371">
            <v>1</v>
          </cell>
        </row>
        <row r="372">
          <cell r="I372" t="str">
            <v>2517+8550</v>
          </cell>
          <cell r="J372">
            <v>1</v>
          </cell>
        </row>
        <row r="373">
          <cell r="I373" t="str">
            <v>242PC</v>
          </cell>
          <cell r="J373">
            <v>1</v>
          </cell>
        </row>
        <row r="374">
          <cell r="I374" t="str">
            <v>242PC</v>
          </cell>
          <cell r="J374">
            <v>1</v>
          </cell>
        </row>
        <row r="375">
          <cell r="J375">
            <v>1</v>
          </cell>
        </row>
        <row r="397">
          <cell r="I397" t="str">
            <v>VF20T</v>
          </cell>
          <cell r="J397">
            <v>1</v>
          </cell>
        </row>
        <row r="398">
          <cell r="I398" t="str">
            <v>VF20T</v>
          </cell>
          <cell r="J398">
            <v>1</v>
          </cell>
        </row>
        <row r="399">
          <cell r="I399" t="str">
            <v>VF20T</v>
          </cell>
          <cell r="J399">
            <v>1</v>
          </cell>
        </row>
        <row r="400">
          <cell r="I400" t="str">
            <v>VF20T</v>
          </cell>
          <cell r="J400">
            <v>1</v>
          </cell>
        </row>
        <row r="402">
          <cell r="I402" t="str">
            <v>XL500</v>
          </cell>
          <cell r="J402">
            <v>1</v>
          </cell>
        </row>
        <row r="403">
          <cell r="I403" t="str">
            <v>XF521</v>
          </cell>
          <cell r="J403">
            <v>2</v>
          </cell>
        </row>
        <row r="404">
          <cell r="I404" t="str">
            <v>XF522</v>
          </cell>
          <cell r="J404">
            <v>1</v>
          </cell>
        </row>
        <row r="405">
          <cell r="I405" t="str">
            <v>XF523</v>
          </cell>
          <cell r="J405">
            <v>3</v>
          </cell>
        </row>
        <row r="406">
          <cell r="I406" t="str">
            <v>XF524</v>
          </cell>
          <cell r="J406">
            <v>3</v>
          </cell>
        </row>
        <row r="407">
          <cell r="I407" t="str">
            <v>总点数</v>
          </cell>
          <cell r="J407">
            <v>2318</v>
          </cell>
        </row>
      </sheetData>
      <sheetData sheetId="1"/>
      <sheetData sheetId="2"/>
      <sheetData sheetId="3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汇总表"/>
      <sheetName val="BA"/>
      <sheetName val="防雷接地"/>
      <sheetName val="中心机房"/>
      <sheetName val="SAS"/>
      <sheetName val="公共广播"/>
      <sheetName val="停车场"/>
      <sheetName val="PDS"/>
      <sheetName val="会议"/>
      <sheetName val="有线电视"/>
      <sheetName val="移动通信"/>
      <sheetName val="计算机网络"/>
      <sheetName val="大屏显示"/>
      <sheetName val="多媒体查询"/>
      <sheetName val="BMS"/>
      <sheetName val="物业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9.xml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61"/>
  <sheetViews>
    <sheetView workbookViewId="0">
      <selection activeCell="L8" sqref="L8"/>
    </sheetView>
  </sheetViews>
  <sheetFormatPr defaultRowHeight="13.5"/>
  <cols>
    <col min="1" max="1" width="10.75" customWidth="1"/>
    <col min="2" max="2" width="24.25" customWidth="1"/>
    <col min="3" max="3" width="11.375" customWidth="1"/>
    <col min="4" max="4" width="18.5" customWidth="1"/>
    <col min="5" max="5" width="13.875" customWidth="1"/>
    <col min="6" max="6" width="14.5" customWidth="1"/>
    <col min="7" max="7" width="19.875" customWidth="1"/>
  </cols>
  <sheetData>
    <row r="1" spans="1:8" ht="29.25" customHeight="1" thickBot="1">
      <c r="A1" s="405" t="s">
        <v>1505</v>
      </c>
      <c r="B1" s="406"/>
      <c r="C1" s="406"/>
      <c r="D1" s="406"/>
      <c r="E1" s="406"/>
      <c r="F1" s="406"/>
      <c r="G1" s="407"/>
    </row>
    <row r="2" spans="1:8" ht="26.25" customHeight="1" thickBot="1">
      <c r="A2" s="408" t="s">
        <v>1506</v>
      </c>
      <c r="B2" s="409"/>
      <c r="C2" s="409"/>
      <c r="D2" s="409"/>
      <c r="E2" s="409"/>
      <c r="F2" s="409"/>
      <c r="G2" s="410"/>
    </row>
    <row r="3" spans="1:8" ht="27" customHeight="1" thickBot="1">
      <c r="A3" s="396" t="s">
        <v>1449</v>
      </c>
      <c r="B3" s="397" t="s">
        <v>1450</v>
      </c>
      <c r="C3" s="397" t="s">
        <v>1451</v>
      </c>
      <c r="D3" s="397" t="s">
        <v>1452</v>
      </c>
      <c r="E3" s="403" t="s">
        <v>1447</v>
      </c>
      <c r="F3" s="404"/>
      <c r="G3" s="397" t="s">
        <v>1453</v>
      </c>
    </row>
    <row r="4" spans="1:8" ht="28.5" customHeight="1" thickBot="1">
      <c r="A4" s="449" t="s">
        <v>1610</v>
      </c>
      <c r="B4" s="411" t="s">
        <v>1507</v>
      </c>
      <c r="C4" s="412"/>
      <c r="D4" s="412"/>
      <c r="E4" s="412"/>
      <c r="F4" s="412"/>
      <c r="G4" s="413"/>
    </row>
    <row r="5" spans="1:8" ht="27" customHeight="1" thickBot="1">
      <c r="A5" s="449">
        <v>1</v>
      </c>
      <c r="B5" s="411" t="s">
        <v>1508</v>
      </c>
      <c r="C5" s="412"/>
      <c r="D5" s="412"/>
      <c r="E5" s="412"/>
      <c r="F5" s="412"/>
      <c r="G5" s="413"/>
    </row>
    <row r="6" spans="1:8" ht="31.5" customHeight="1" thickBot="1">
      <c r="A6" s="396" t="s">
        <v>1509</v>
      </c>
      <c r="B6" s="397" t="s">
        <v>1454</v>
      </c>
      <c r="C6" s="400"/>
      <c r="D6" s="401"/>
      <c r="E6" s="401"/>
      <c r="F6" s="401"/>
      <c r="G6" s="402"/>
    </row>
    <row r="7" spans="1:8" ht="36" customHeight="1" thickBot="1">
      <c r="A7" s="396" t="s">
        <v>1510</v>
      </c>
      <c r="B7" s="397" t="s">
        <v>1455</v>
      </c>
      <c r="C7" s="400"/>
      <c r="D7" s="401"/>
      <c r="E7" s="401"/>
      <c r="F7" s="401"/>
      <c r="G7" s="402"/>
    </row>
    <row r="8" spans="1:8" ht="28.5" customHeight="1" thickBot="1">
      <c r="A8" s="449">
        <v>2</v>
      </c>
      <c r="B8" s="411" t="s">
        <v>1611</v>
      </c>
      <c r="C8" s="412"/>
      <c r="D8" s="413"/>
      <c r="E8" s="450" t="s">
        <v>1612</v>
      </c>
      <c r="F8" s="450" t="s">
        <v>1613</v>
      </c>
      <c r="G8" s="397"/>
    </row>
    <row r="9" spans="1:8" ht="29.25" customHeight="1" thickBot="1">
      <c r="A9" s="396" t="s">
        <v>1509</v>
      </c>
      <c r="B9" s="397" t="s">
        <v>1456</v>
      </c>
      <c r="C9" s="397" t="s">
        <v>1418</v>
      </c>
      <c r="D9" s="397" t="s">
        <v>291</v>
      </c>
      <c r="E9" s="400"/>
      <c r="F9" s="402"/>
      <c r="G9" s="397"/>
    </row>
    <row r="10" spans="1:8" ht="29.25" customHeight="1" thickBot="1">
      <c r="A10" s="396" t="s">
        <v>1510</v>
      </c>
      <c r="B10" s="397" t="s">
        <v>1457</v>
      </c>
      <c r="C10" s="397" t="s">
        <v>1419</v>
      </c>
      <c r="D10" s="397" t="s">
        <v>291</v>
      </c>
      <c r="E10" s="400"/>
      <c r="F10" s="402"/>
      <c r="G10" s="397"/>
    </row>
    <row r="11" spans="1:8" ht="29.25" customHeight="1" thickBot="1">
      <c r="A11" s="396" t="s">
        <v>1511</v>
      </c>
      <c r="B11" s="397" t="s">
        <v>1458</v>
      </c>
      <c r="C11" s="397" t="s">
        <v>1420</v>
      </c>
      <c r="D11" s="397" t="s">
        <v>291</v>
      </c>
      <c r="E11" s="400"/>
      <c r="F11" s="402"/>
      <c r="G11" s="397"/>
    </row>
    <row r="12" spans="1:8" ht="29.25" customHeight="1" thickBot="1">
      <c r="A12" s="396" t="s">
        <v>1594</v>
      </c>
      <c r="B12" s="397" t="s">
        <v>1459</v>
      </c>
      <c r="C12" s="397" t="s">
        <v>1421</v>
      </c>
      <c r="D12" s="397" t="s">
        <v>291</v>
      </c>
      <c r="E12" s="400"/>
      <c r="F12" s="402"/>
      <c r="G12" s="397"/>
    </row>
    <row r="13" spans="1:8" ht="29.25" customHeight="1" thickBot="1">
      <c r="A13" s="396" t="s">
        <v>1598</v>
      </c>
      <c r="B13" s="397" t="s">
        <v>1460</v>
      </c>
      <c r="C13" s="397" t="s">
        <v>1422</v>
      </c>
      <c r="D13" s="397" t="s">
        <v>291</v>
      </c>
      <c r="E13" s="400"/>
      <c r="F13" s="402"/>
      <c r="G13" s="397"/>
    </row>
    <row r="14" spans="1:8" ht="29.25" customHeight="1" thickBot="1">
      <c r="A14" s="396" t="s">
        <v>1599</v>
      </c>
      <c r="B14" s="397" t="s">
        <v>1461</v>
      </c>
      <c r="C14" s="397" t="s">
        <v>1423</v>
      </c>
      <c r="D14" s="397" t="s">
        <v>291</v>
      </c>
      <c r="E14" s="400"/>
      <c r="F14" s="402"/>
      <c r="G14" s="397"/>
    </row>
    <row r="15" spans="1:8" ht="29.25" customHeight="1" thickBot="1">
      <c r="A15" s="396" t="s">
        <v>1600</v>
      </c>
      <c r="B15" s="397" t="s">
        <v>1462</v>
      </c>
      <c r="C15" s="397" t="s">
        <v>1424</v>
      </c>
      <c r="D15" s="397" t="s">
        <v>291</v>
      </c>
      <c r="E15" s="400"/>
      <c r="F15" s="402"/>
      <c r="G15" s="397"/>
    </row>
    <row r="16" spans="1:8" ht="19.5" thickBot="1">
      <c r="A16" s="396" t="s">
        <v>1601</v>
      </c>
      <c r="B16" s="397" t="s">
        <v>1463</v>
      </c>
      <c r="C16" s="397" t="s">
        <v>1425</v>
      </c>
      <c r="D16" s="397" t="s">
        <v>291</v>
      </c>
      <c r="E16" s="400"/>
      <c r="F16" s="402"/>
      <c r="G16" s="397"/>
    </row>
    <row r="17" spans="1:7" ht="29.25" customHeight="1" thickBot="1">
      <c r="A17" s="396" t="s">
        <v>1602</v>
      </c>
      <c r="B17" s="397" t="s">
        <v>1464</v>
      </c>
      <c r="C17" s="397" t="s">
        <v>1426</v>
      </c>
      <c r="D17" s="397" t="s">
        <v>291</v>
      </c>
      <c r="E17" s="400"/>
      <c r="F17" s="402"/>
      <c r="G17" s="397"/>
    </row>
    <row r="18" spans="1:7" ht="20.25" thickBot="1">
      <c r="A18" s="396" t="s">
        <v>1603</v>
      </c>
      <c r="B18" s="397" t="s">
        <v>1465</v>
      </c>
      <c r="C18" s="397" t="s">
        <v>1427</v>
      </c>
      <c r="D18" s="397" t="s">
        <v>1428</v>
      </c>
      <c r="E18" s="400"/>
      <c r="F18" s="402"/>
      <c r="G18" s="397"/>
    </row>
    <row r="19" spans="1:7" ht="28.5" customHeight="1" thickBot="1">
      <c r="A19" s="449" t="s">
        <v>1609</v>
      </c>
      <c r="B19" s="400" t="s">
        <v>1466</v>
      </c>
      <c r="C19" s="401"/>
      <c r="D19" s="401"/>
      <c r="E19" s="401"/>
      <c r="F19" s="401"/>
      <c r="G19" s="402"/>
    </row>
    <row r="20" spans="1:7" ht="29.25" customHeight="1" thickBot="1">
      <c r="A20" s="396">
        <v>1</v>
      </c>
      <c r="B20" s="397" t="s">
        <v>1467</v>
      </c>
      <c r="C20" s="397" t="s">
        <v>1429</v>
      </c>
      <c r="D20" s="397" t="s">
        <v>1430</v>
      </c>
      <c r="E20" s="400"/>
      <c r="F20" s="402"/>
      <c r="G20" s="397"/>
    </row>
    <row r="21" spans="1:7" ht="26.25" customHeight="1" thickBot="1">
      <c r="A21" s="396">
        <v>2</v>
      </c>
      <c r="B21" s="397" t="s">
        <v>1468</v>
      </c>
      <c r="C21" s="397" t="s">
        <v>1469</v>
      </c>
      <c r="D21" s="397" t="s">
        <v>1468</v>
      </c>
      <c r="E21" s="400"/>
      <c r="F21" s="402"/>
      <c r="G21" s="397"/>
    </row>
    <row r="22" spans="1:7" ht="26.25" customHeight="1" thickBot="1">
      <c r="A22" s="396">
        <v>3</v>
      </c>
      <c r="B22" s="397" t="s">
        <v>1470</v>
      </c>
      <c r="C22" s="397" t="s">
        <v>1469</v>
      </c>
      <c r="D22" s="397" t="s">
        <v>1470</v>
      </c>
      <c r="E22" s="400"/>
      <c r="F22" s="402"/>
      <c r="G22" s="397"/>
    </row>
    <row r="23" spans="1:7" ht="27" customHeight="1" thickBot="1">
      <c r="A23" s="396">
        <v>4</v>
      </c>
      <c r="B23" s="397" t="s">
        <v>1471</v>
      </c>
      <c r="C23" s="397" t="s">
        <v>1469</v>
      </c>
      <c r="D23" s="397" t="s">
        <v>1471</v>
      </c>
      <c r="E23" s="400"/>
      <c r="F23" s="402"/>
      <c r="G23" s="397"/>
    </row>
    <row r="24" spans="1:7" ht="26.25" customHeight="1" thickBot="1">
      <c r="A24" s="396">
        <v>5</v>
      </c>
      <c r="B24" s="397" t="s">
        <v>1472</v>
      </c>
      <c r="C24" s="397" t="s">
        <v>1431</v>
      </c>
      <c r="D24" s="397" t="s">
        <v>1472</v>
      </c>
      <c r="E24" s="400"/>
      <c r="F24" s="402"/>
      <c r="G24" s="397"/>
    </row>
    <row r="25" spans="1:7" ht="24.75" customHeight="1" thickBot="1">
      <c r="A25" s="396">
        <v>6</v>
      </c>
      <c r="B25" s="397" t="s">
        <v>1473</v>
      </c>
      <c r="C25" s="397" t="s">
        <v>1431</v>
      </c>
      <c r="D25" s="397" t="s">
        <v>1473</v>
      </c>
      <c r="E25" s="400"/>
      <c r="F25" s="402"/>
      <c r="G25" s="397"/>
    </row>
    <row r="26" spans="1:7" ht="27" customHeight="1" thickBot="1">
      <c r="A26" s="396">
        <v>7</v>
      </c>
      <c r="B26" s="397" t="s">
        <v>1474</v>
      </c>
      <c r="C26" s="397" t="s">
        <v>1431</v>
      </c>
      <c r="D26" s="397" t="s">
        <v>1474</v>
      </c>
      <c r="E26" s="400"/>
      <c r="F26" s="402"/>
      <c r="G26" s="397"/>
    </row>
    <row r="27" spans="1:7" ht="27" customHeight="1" thickBot="1">
      <c r="A27" s="396">
        <v>8</v>
      </c>
      <c r="B27" s="397" t="s">
        <v>1475</v>
      </c>
      <c r="C27" s="397" t="s">
        <v>291</v>
      </c>
      <c r="D27" s="397" t="s">
        <v>1475</v>
      </c>
      <c r="E27" s="400"/>
      <c r="F27" s="402"/>
      <c r="G27" s="397"/>
    </row>
    <row r="28" spans="1:7" ht="27" customHeight="1" thickBot="1">
      <c r="A28" s="449" t="s">
        <v>1608</v>
      </c>
      <c r="B28" s="411" t="s">
        <v>1589</v>
      </c>
      <c r="C28" s="412"/>
      <c r="D28" s="412"/>
      <c r="E28" s="412"/>
      <c r="F28" s="412"/>
      <c r="G28" s="413"/>
    </row>
    <row r="29" spans="1:7" ht="27.75" customHeight="1" thickBot="1">
      <c r="A29" s="396">
        <v>1</v>
      </c>
      <c r="B29" s="411" t="s">
        <v>1604</v>
      </c>
      <c r="C29" s="412"/>
      <c r="D29" s="412"/>
      <c r="E29" s="412"/>
      <c r="F29" s="412"/>
      <c r="G29" s="413"/>
    </row>
    <row r="30" spans="1:7" ht="29.25" customHeight="1" thickBot="1">
      <c r="A30" s="396" t="s">
        <v>1509</v>
      </c>
      <c r="B30" s="397" t="s">
        <v>1476</v>
      </c>
      <c r="C30" s="397" t="s">
        <v>1432</v>
      </c>
      <c r="D30" s="397" t="s">
        <v>1433</v>
      </c>
      <c r="E30" s="400"/>
      <c r="F30" s="402"/>
      <c r="G30" s="397"/>
    </row>
    <row r="31" spans="1:7" ht="29.25" customHeight="1" thickBot="1">
      <c r="A31" s="396" t="s">
        <v>1510</v>
      </c>
      <c r="B31" s="397" t="s">
        <v>1477</v>
      </c>
      <c r="C31" s="397" t="s">
        <v>1434</v>
      </c>
      <c r="D31" s="397" t="s">
        <v>1469</v>
      </c>
      <c r="E31" s="400"/>
      <c r="F31" s="402"/>
      <c r="G31" s="397"/>
    </row>
    <row r="32" spans="1:7" ht="28.5" customHeight="1" thickBot="1">
      <c r="A32" s="396" t="s">
        <v>1511</v>
      </c>
      <c r="B32" s="397" t="s">
        <v>1478</v>
      </c>
      <c r="C32" s="397" t="s">
        <v>755</v>
      </c>
      <c r="D32" s="397" t="s">
        <v>755</v>
      </c>
      <c r="E32" s="400"/>
      <c r="F32" s="402"/>
      <c r="G32" s="397"/>
    </row>
    <row r="33" spans="1:7" ht="27" customHeight="1" thickBot="1">
      <c r="A33" s="396" t="s">
        <v>1594</v>
      </c>
      <c r="B33" s="397" t="s">
        <v>1479</v>
      </c>
      <c r="C33" s="397" t="s">
        <v>1435</v>
      </c>
      <c r="D33" s="397" t="s">
        <v>1436</v>
      </c>
      <c r="E33" s="400"/>
      <c r="F33" s="402"/>
      <c r="G33" s="397"/>
    </row>
    <row r="34" spans="1:7" ht="29.25" customHeight="1" thickBot="1">
      <c r="A34" s="439" t="s">
        <v>1595</v>
      </c>
      <c r="B34" s="439" t="s">
        <v>1480</v>
      </c>
      <c r="C34" s="398" t="s">
        <v>1437</v>
      </c>
      <c r="D34" s="439" t="s">
        <v>1436</v>
      </c>
      <c r="E34" s="440"/>
      <c r="F34" s="441"/>
      <c r="G34" s="398"/>
    </row>
    <row r="35" spans="1:7" ht="30" customHeight="1" thickBot="1">
      <c r="A35" s="448" t="s">
        <v>1596</v>
      </c>
      <c r="B35" s="447" t="s">
        <v>1482</v>
      </c>
      <c r="C35" s="446" t="s">
        <v>1438</v>
      </c>
      <c r="D35" s="445" t="s">
        <v>1439</v>
      </c>
      <c r="E35" s="442"/>
      <c r="F35" s="443"/>
      <c r="G35" s="445" t="s">
        <v>1481</v>
      </c>
    </row>
    <row r="36" spans="1:7" ht="29.25" customHeight="1" thickBot="1">
      <c r="A36" s="444" t="s">
        <v>1597</v>
      </c>
      <c r="B36" s="444" t="s">
        <v>1483</v>
      </c>
      <c r="C36" s="444" t="s">
        <v>1440</v>
      </c>
      <c r="D36" s="397" t="s">
        <v>291</v>
      </c>
      <c r="E36" s="403"/>
      <c r="F36" s="404"/>
      <c r="G36" s="444"/>
    </row>
    <row r="37" spans="1:7" ht="27" customHeight="1" thickBot="1">
      <c r="A37" s="396">
        <v>2</v>
      </c>
      <c r="B37" s="411" t="s">
        <v>1590</v>
      </c>
      <c r="C37" s="412"/>
      <c r="D37" s="412"/>
      <c r="E37" s="412"/>
      <c r="F37" s="412"/>
      <c r="G37" s="413"/>
    </row>
    <row r="38" spans="1:7" ht="29.25" customHeight="1" thickBot="1">
      <c r="A38" s="396" t="s">
        <v>1509</v>
      </c>
      <c r="B38" s="397" t="s">
        <v>1484</v>
      </c>
      <c r="C38" s="397" t="s">
        <v>755</v>
      </c>
      <c r="D38" s="397" t="s">
        <v>755</v>
      </c>
      <c r="E38" s="400"/>
      <c r="F38" s="402"/>
      <c r="G38" s="397"/>
    </row>
    <row r="39" spans="1:7" ht="29.25" customHeight="1" thickBot="1">
      <c r="A39" s="396" t="s">
        <v>1510</v>
      </c>
      <c r="B39" s="397" t="s">
        <v>1485</v>
      </c>
      <c r="C39" s="397" t="s">
        <v>755</v>
      </c>
      <c r="D39" s="397" t="s">
        <v>1441</v>
      </c>
      <c r="E39" s="400"/>
      <c r="F39" s="402"/>
      <c r="G39" s="397"/>
    </row>
    <row r="40" spans="1:7" ht="29.25" customHeight="1" thickBot="1">
      <c r="A40" s="396" t="s">
        <v>1511</v>
      </c>
      <c r="B40" s="397" t="s">
        <v>1486</v>
      </c>
      <c r="C40" s="397" t="s">
        <v>755</v>
      </c>
      <c r="D40" s="397" t="s">
        <v>1501</v>
      </c>
      <c r="E40" s="400"/>
      <c r="F40" s="402"/>
      <c r="G40" s="397"/>
    </row>
    <row r="41" spans="1:7" ht="29.25" customHeight="1" thickBot="1">
      <c r="A41" s="396" t="s">
        <v>1594</v>
      </c>
      <c r="B41" s="397" t="s">
        <v>1487</v>
      </c>
      <c r="C41" s="397" t="s">
        <v>755</v>
      </c>
      <c r="D41" s="397" t="s">
        <v>1501</v>
      </c>
      <c r="E41" s="400"/>
      <c r="F41" s="402"/>
      <c r="G41" s="397"/>
    </row>
    <row r="42" spans="1:7" ht="30" customHeight="1" thickBot="1">
      <c r="A42" s="449" t="s">
        <v>1607</v>
      </c>
      <c r="B42" s="411" t="s">
        <v>1605</v>
      </c>
      <c r="C42" s="412"/>
      <c r="D42" s="412"/>
      <c r="E42" s="412"/>
      <c r="F42" s="412"/>
      <c r="G42" s="413"/>
    </row>
    <row r="43" spans="1:7" ht="30.75" customHeight="1" thickBot="1">
      <c r="A43" s="449">
        <v>1</v>
      </c>
      <c r="B43" s="411" t="s">
        <v>1606</v>
      </c>
      <c r="C43" s="412"/>
      <c r="D43" s="412"/>
      <c r="E43" s="412"/>
      <c r="F43" s="412"/>
      <c r="G43" s="413"/>
    </row>
    <row r="44" spans="1:7" ht="29.25" customHeight="1" thickBot="1">
      <c r="A44" s="396" t="s">
        <v>1509</v>
      </c>
      <c r="B44" s="397" t="s">
        <v>1488</v>
      </c>
      <c r="C44" s="397" t="s">
        <v>755</v>
      </c>
      <c r="D44" s="397" t="s">
        <v>1448</v>
      </c>
      <c r="E44" s="400"/>
      <c r="F44" s="402"/>
      <c r="G44" s="397"/>
    </row>
    <row r="45" spans="1:7" ht="29.25" customHeight="1" thickBot="1">
      <c r="A45" s="396" t="s">
        <v>1510</v>
      </c>
      <c r="B45" s="397" t="s">
        <v>1489</v>
      </c>
      <c r="C45" s="397" t="s">
        <v>755</v>
      </c>
      <c r="D45" s="397" t="s">
        <v>1442</v>
      </c>
      <c r="E45" s="400"/>
      <c r="F45" s="402"/>
      <c r="G45" s="397" t="s">
        <v>1490</v>
      </c>
    </row>
    <row r="46" spans="1:7" ht="29.25" customHeight="1" thickBot="1">
      <c r="A46" s="449">
        <v>2</v>
      </c>
      <c r="B46" s="397" t="s">
        <v>1491</v>
      </c>
      <c r="C46" s="397" t="s">
        <v>755</v>
      </c>
      <c r="D46" s="397" t="s">
        <v>755</v>
      </c>
      <c r="E46" s="400"/>
      <c r="F46" s="402"/>
      <c r="G46" s="397"/>
    </row>
    <row r="47" spans="1:7" ht="28.5" customHeight="1" thickBot="1">
      <c r="A47" s="449">
        <v>3</v>
      </c>
      <c r="B47" s="411" t="s">
        <v>1591</v>
      </c>
      <c r="C47" s="412"/>
      <c r="D47" s="412"/>
      <c r="E47" s="412"/>
      <c r="F47" s="412"/>
      <c r="G47" s="413"/>
    </row>
    <row r="48" spans="1:7" ht="29.25" customHeight="1" thickBot="1">
      <c r="A48" s="396" t="s">
        <v>1509</v>
      </c>
      <c r="B48" s="397" t="s">
        <v>1492</v>
      </c>
      <c r="C48" s="397" t="s">
        <v>755</v>
      </c>
      <c r="D48" s="397" t="s">
        <v>1443</v>
      </c>
      <c r="E48" s="400"/>
      <c r="F48" s="402"/>
      <c r="G48" s="397"/>
    </row>
    <row r="49" spans="1:7" ht="29.25" customHeight="1" thickBot="1">
      <c r="A49" s="396" t="s">
        <v>1510</v>
      </c>
      <c r="B49" s="397" t="s">
        <v>1493</v>
      </c>
      <c r="C49" s="397" t="s">
        <v>755</v>
      </c>
      <c r="D49" s="397" t="s">
        <v>1444</v>
      </c>
      <c r="E49" s="400"/>
      <c r="F49" s="402"/>
      <c r="G49" s="397"/>
    </row>
    <row r="50" spans="1:7" ht="30" customHeight="1" thickBot="1">
      <c r="A50" s="396" t="s">
        <v>1511</v>
      </c>
      <c r="B50" s="397" t="s">
        <v>1494</v>
      </c>
      <c r="C50" s="397" t="s">
        <v>755</v>
      </c>
      <c r="D50" s="397" t="s">
        <v>1445</v>
      </c>
      <c r="E50" s="400"/>
      <c r="F50" s="402"/>
      <c r="G50" s="397"/>
    </row>
    <row r="51" spans="1:7" ht="27.75" customHeight="1" thickBot="1">
      <c r="A51" s="396" t="s">
        <v>1594</v>
      </c>
      <c r="B51" s="397" t="s">
        <v>1495</v>
      </c>
      <c r="C51" s="397" t="s">
        <v>755</v>
      </c>
      <c r="D51" s="397"/>
      <c r="E51" s="400"/>
      <c r="F51" s="402"/>
      <c r="G51" s="397"/>
    </row>
    <row r="52" spans="1:7" ht="29.25" customHeight="1" thickBot="1">
      <c r="A52" s="396" t="s">
        <v>1595</v>
      </c>
      <c r="B52" s="397" t="s">
        <v>1496</v>
      </c>
      <c r="C52" s="397" t="s">
        <v>755</v>
      </c>
      <c r="D52" s="397"/>
      <c r="E52" s="400"/>
      <c r="F52" s="402"/>
      <c r="G52" s="397"/>
    </row>
    <row r="53" spans="1:7" ht="30" customHeight="1" thickBot="1">
      <c r="A53" s="449">
        <v>4</v>
      </c>
      <c r="B53" s="411" t="s">
        <v>1592</v>
      </c>
      <c r="C53" s="412"/>
      <c r="D53" s="412"/>
      <c r="E53" s="412"/>
      <c r="F53" s="412"/>
      <c r="G53" s="413"/>
    </row>
    <row r="54" spans="1:7" ht="28.5" customHeight="1" thickBot="1">
      <c r="A54" s="396" t="s">
        <v>1509</v>
      </c>
      <c r="B54" s="397" t="s">
        <v>1502</v>
      </c>
      <c r="C54" s="397" t="s">
        <v>755</v>
      </c>
      <c r="D54" s="397" t="s">
        <v>1446</v>
      </c>
      <c r="E54" s="400"/>
      <c r="F54" s="402"/>
      <c r="G54" s="397"/>
    </row>
    <row r="55" spans="1:7" ht="28.5" customHeight="1" thickBot="1">
      <c r="A55" s="396" t="s">
        <v>1510</v>
      </c>
      <c r="B55" s="397" t="s">
        <v>1503</v>
      </c>
      <c r="C55" s="397" t="s">
        <v>755</v>
      </c>
      <c r="D55" s="397" t="s">
        <v>1446</v>
      </c>
      <c r="E55" s="400"/>
      <c r="F55" s="402"/>
      <c r="G55" s="397"/>
    </row>
    <row r="56" spans="1:7" ht="27.75" customHeight="1" thickBot="1">
      <c r="A56" s="396" t="s">
        <v>1511</v>
      </c>
      <c r="B56" s="397" t="s">
        <v>1497</v>
      </c>
      <c r="C56" s="397" t="s">
        <v>755</v>
      </c>
      <c r="D56" s="397" t="s">
        <v>1446</v>
      </c>
      <c r="E56" s="400"/>
      <c r="F56" s="402"/>
      <c r="G56" s="397"/>
    </row>
    <row r="57" spans="1:7" ht="33" customHeight="1" thickBot="1">
      <c r="A57" s="449">
        <v>5</v>
      </c>
      <c r="B57" s="411" t="s">
        <v>1593</v>
      </c>
      <c r="C57" s="412"/>
      <c r="D57" s="412"/>
      <c r="E57" s="412"/>
      <c r="F57" s="412"/>
      <c r="G57" s="413"/>
    </row>
    <row r="58" spans="1:7" ht="29.25" customHeight="1" thickBot="1">
      <c r="A58" s="396" t="s">
        <v>1509</v>
      </c>
      <c r="B58" s="397" t="s">
        <v>1498</v>
      </c>
      <c r="C58" s="397" t="s">
        <v>755</v>
      </c>
      <c r="D58" s="399"/>
      <c r="E58" s="400"/>
      <c r="F58" s="402"/>
      <c r="G58" s="397"/>
    </row>
    <row r="59" spans="1:7" ht="29.25" customHeight="1" thickBot="1">
      <c r="A59" s="396" t="s">
        <v>1510</v>
      </c>
      <c r="B59" s="397" t="s">
        <v>1499</v>
      </c>
      <c r="C59" s="397" t="s">
        <v>755</v>
      </c>
      <c r="D59" s="397"/>
      <c r="E59" s="400"/>
      <c r="F59" s="402"/>
      <c r="G59" s="397"/>
    </row>
    <row r="60" spans="1:7" ht="29.25" customHeight="1" thickBot="1">
      <c r="A60" s="396" t="s">
        <v>1511</v>
      </c>
      <c r="B60" s="397" t="s">
        <v>1500</v>
      </c>
      <c r="C60" s="397" t="s">
        <v>755</v>
      </c>
      <c r="D60" s="397" t="s">
        <v>1446</v>
      </c>
      <c r="E60" s="400"/>
      <c r="F60" s="402"/>
      <c r="G60" s="397"/>
    </row>
    <row r="61" spans="1:7" ht="28.5" customHeight="1" thickBot="1">
      <c r="A61" s="396" t="s">
        <v>1594</v>
      </c>
      <c r="B61" s="397" t="s">
        <v>1504</v>
      </c>
      <c r="C61" s="397" t="s">
        <v>755</v>
      </c>
      <c r="D61" s="397"/>
      <c r="E61" s="400"/>
      <c r="F61" s="402"/>
      <c r="G61" s="397"/>
    </row>
  </sheetData>
  <mergeCells count="61">
    <mergeCell ref="A1:G1"/>
    <mergeCell ref="A2:G2"/>
    <mergeCell ref="E56:F56"/>
    <mergeCell ref="B57:G57"/>
    <mergeCell ref="E58:F58"/>
    <mergeCell ref="E59:F59"/>
    <mergeCell ref="E60:F60"/>
    <mergeCell ref="E61:F61"/>
    <mergeCell ref="E50:F50"/>
    <mergeCell ref="E51:F51"/>
    <mergeCell ref="E52:F52"/>
    <mergeCell ref="B53:G53"/>
    <mergeCell ref="E54:F54"/>
    <mergeCell ref="E55:F55"/>
    <mergeCell ref="E44:F44"/>
    <mergeCell ref="E45:F45"/>
    <mergeCell ref="E46:F46"/>
    <mergeCell ref="B47:G47"/>
    <mergeCell ref="E48:F48"/>
    <mergeCell ref="E49:F49"/>
    <mergeCell ref="E38:F38"/>
    <mergeCell ref="E39:F39"/>
    <mergeCell ref="E40:F40"/>
    <mergeCell ref="E41:F41"/>
    <mergeCell ref="B42:G42"/>
    <mergeCell ref="B43:G43"/>
    <mergeCell ref="E33:F33"/>
    <mergeCell ref="E34:F34"/>
    <mergeCell ref="E35:F35"/>
    <mergeCell ref="E36:F36"/>
    <mergeCell ref="B37:G37"/>
    <mergeCell ref="E27:F27"/>
    <mergeCell ref="B28:G28"/>
    <mergeCell ref="B29:G29"/>
    <mergeCell ref="E30:F30"/>
    <mergeCell ref="E31:F31"/>
    <mergeCell ref="E32:F32"/>
    <mergeCell ref="E21:F21"/>
    <mergeCell ref="E22:F22"/>
    <mergeCell ref="E23:F23"/>
    <mergeCell ref="E24:F24"/>
    <mergeCell ref="E25:F25"/>
    <mergeCell ref="E26:F26"/>
    <mergeCell ref="E15:F15"/>
    <mergeCell ref="E16:F16"/>
    <mergeCell ref="E17:F17"/>
    <mergeCell ref="E18:F18"/>
    <mergeCell ref="B19:G19"/>
    <mergeCell ref="E20:F20"/>
    <mergeCell ref="E9:F9"/>
    <mergeCell ref="E10:F10"/>
    <mergeCell ref="E11:F11"/>
    <mergeCell ref="E12:F12"/>
    <mergeCell ref="E13:F13"/>
    <mergeCell ref="E14:F14"/>
    <mergeCell ref="E3:F3"/>
    <mergeCell ref="B4:G4"/>
    <mergeCell ref="B5:G5"/>
    <mergeCell ref="C6:G6"/>
    <mergeCell ref="C7:G7"/>
    <mergeCell ref="B8:D8"/>
  </mergeCells>
  <phoneticPr fontId="1" type="noConversion"/>
  <pageMargins left="0.7" right="0.7" top="0.75" bottom="0.75" header="0.3" footer="0.3"/>
  <legacy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5"/>
  <sheetViews>
    <sheetView zoomScale="110" zoomScaleNormal="110" workbookViewId="0">
      <selection activeCell="C23" sqref="C23"/>
    </sheetView>
  </sheetViews>
  <sheetFormatPr defaultRowHeight="13.5"/>
  <cols>
    <col min="2" max="2" width="22.25" customWidth="1"/>
    <col min="4" max="4" width="8.25" customWidth="1"/>
    <col min="5" max="5" width="14.5" customWidth="1"/>
    <col min="6" max="7" width="9.5" bestFit="1" customWidth="1"/>
  </cols>
  <sheetData>
    <row r="1" spans="1:7">
      <c r="A1" s="315" t="s">
        <v>974</v>
      </c>
      <c r="B1" s="28" t="s">
        <v>1338</v>
      </c>
      <c r="C1" s="28" t="s">
        <v>1339</v>
      </c>
      <c r="D1" s="28" t="s">
        <v>1340</v>
      </c>
      <c r="E1" s="28" t="s">
        <v>1341</v>
      </c>
      <c r="F1" s="28" t="s">
        <v>1342</v>
      </c>
      <c r="G1" s="28" t="s">
        <v>1343</v>
      </c>
    </row>
    <row r="2" spans="1:7">
      <c r="A2" s="315" t="s">
        <v>1344</v>
      </c>
      <c r="B2" s="28" t="s">
        <v>1360</v>
      </c>
      <c r="C2" s="28" t="s">
        <v>1361</v>
      </c>
      <c r="D2" s="28"/>
      <c r="E2" s="28"/>
      <c r="F2" s="28">
        <f>锅炉计算!G12</f>
        <v>82.74</v>
      </c>
      <c r="G2" s="28">
        <f>锅炉计算!H12</f>
        <v>36.590000000000003</v>
      </c>
    </row>
    <row r="3" spans="1:7">
      <c r="A3" s="315" t="s">
        <v>156</v>
      </c>
      <c r="B3" s="28" t="s">
        <v>1345</v>
      </c>
      <c r="C3" s="28" t="s">
        <v>1346</v>
      </c>
      <c r="D3" s="28"/>
      <c r="E3" s="28" t="s">
        <v>1347</v>
      </c>
      <c r="F3" s="28">
        <f>锅炉计算!G13</f>
        <v>57</v>
      </c>
      <c r="G3" s="28">
        <f>锅炉计算!H13</f>
        <v>57</v>
      </c>
    </row>
    <row r="4" spans="1:7">
      <c r="A4" s="315" t="s">
        <v>160</v>
      </c>
      <c r="B4" s="32" t="s">
        <v>1362</v>
      </c>
      <c r="C4" s="364" t="s">
        <v>1363</v>
      </c>
      <c r="D4" s="364"/>
      <c r="E4" s="364"/>
      <c r="F4" s="364" t="s">
        <v>1364</v>
      </c>
      <c r="G4" s="364"/>
    </row>
    <row r="5" spans="1:7">
      <c r="A5" s="315" t="s">
        <v>164</v>
      </c>
      <c r="B5" s="388" t="s">
        <v>1371</v>
      </c>
      <c r="C5" s="5" t="s">
        <v>1365</v>
      </c>
      <c r="D5" s="5"/>
      <c r="E5" s="5" t="s">
        <v>1368</v>
      </c>
      <c r="F5" s="324">
        <f>4+0.5*1.1*F3/100</f>
        <v>4.3135000000000003</v>
      </c>
      <c r="G5" s="324">
        <f>4+0.5*1.1*G3/100</f>
        <v>4.3135000000000003</v>
      </c>
    </row>
    <row r="6" spans="1:7">
      <c r="A6" s="315" t="s">
        <v>167</v>
      </c>
      <c r="B6" s="389"/>
      <c r="C6" s="5" t="s">
        <v>1366</v>
      </c>
      <c r="D6" s="5"/>
      <c r="E6" s="5" t="s">
        <v>1369</v>
      </c>
      <c r="F6" s="324">
        <f>2+0.5*1.1*F3/100</f>
        <v>2.3134999999999999</v>
      </c>
      <c r="G6" s="324">
        <f>2+0.5*1.1*G3/100</f>
        <v>2.3134999999999999</v>
      </c>
    </row>
    <row r="7" spans="1:7">
      <c r="A7" s="315" t="s">
        <v>204</v>
      </c>
      <c r="B7" s="390"/>
      <c r="C7" s="5" t="s">
        <v>1367</v>
      </c>
      <c r="D7" s="5"/>
      <c r="E7" s="5" t="s">
        <v>1370</v>
      </c>
      <c r="F7" s="324">
        <f>0.5*1.1*F3/100</f>
        <v>0.3135</v>
      </c>
      <c r="G7" s="324">
        <f>0.5*1.1*G3/100</f>
        <v>0.3135</v>
      </c>
    </row>
    <row r="8" spans="1:7">
      <c r="A8" s="315" t="s">
        <v>209</v>
      </c>
      <c r="B8" s="5"/>
      <c r="C8" s="5"/>
      <c r="D8" s="5"/>
      <c r="E8" s="5"/>
      <c r="F8" s="5"/>
      <c r="G8" s="5"/>
    </row>
    <row r="9" spans="1:7">
      <c r="A9" s="315" t="s">
        <v>212</v>
      </c>
      <c r="B9" s="5"/>
      <c r="C9" s="5"/>
      <c r="D9" s="5"/>
      <c r="E9" s="5"/>
      <c r="F9" s="5"/>
      <c r="G9" s="5"/>
    </row>
    <row r="10" spans="1:7">
      <c r="A10" s="315" t="s">
        <v>216</v>
      </c>
      <c r="B10" s="5"/>
      <c r="C10" s="5"/>
      <c r="D10" s="5"/>
      <c r="E10" s="5"/>
      <c r="F10" s="5"/>
      <c r="G10" s="5"/>
    </row>
    <row r="12" spans="1:7"/>
    <row r="25" spans="7:7"/>
  </sheetData>
  <mergeCells count="3">
    <mergeCell ref="C4:E4"/>
    <mergeCell ref="F4:G4"/>
    <mergeCell ref="B5:B7"/>
  </mergeCells>
  <phoneticPr fontId="14" type="noConversion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theme="6" tint="-0.499984740745262"/>
    <pageSetUpPr fitToPage="1"/>
  </sheetPr>
  <dimension ref="A1:V39"/>
  <sheetViews>
    <sheetView zoomScale="85" zoomScaleNormal="85" workbookViewId="0">
      <selection activeCell="F38" sqref="F38"/>
    </sheetView>
  </sheetViews>
  <sheetFormatPr defaultRowHeight="20.100000000000001" customHeight="1"/>
  <cols>
    <col min="1" max="21" width="10.625" style="244" customWidth="1"/>
    <col min="22" max="256" width="9" style="244"/>
    <col min="257" max="277" width="10.625" style="244" customWidth="1"/>
    <col min="278" max="512" width="9" style="244"/>
    <col min="513" max="533" width="10.625" style="244" customWidth="1"/>
    <col min="534" max="768" width="9" style="244"/>
    <col min="769" max="789" width="10.625" style="244" customWidth="1"/>
    <col min="790" max="1024" width="9" style="244"/>
    <col min="1025" max="1045" width="10.625" style="244" customWidth="1"/>
    <col min="1046" max="1280" width="9" style="244"/>
    <col min="1281" max="1301" width="10.625" style="244" customWidth="1"/>
    <col min="1302" max="1536" width="9" style="244"/>
    <col min="1537" max="1557" width="10.625" style="244" customWidth="1"/>
    <col min="1558" max="1792" width="9" style="244"/>
    <col min="1793" max="1813" width="10.625" style="244" customWidth="1"/>
    <col min="1814" max="2048" width="9" style="244"/>
    <col min="2049" max="2069" width="10.625" style="244" customWidth="1"/>
    <col min="2070" max="2304" width="9" style="244"/>
    <col min="2305" max="2325" width="10.625" style="244" customWidth="1"/>
    <col min="2326" max="2560" width="9" style="244"/>
    <col min="2561" max="2581" width="10.625" style="244" customWidth="1"/>
    <col min="2582" max="2816" width="9" style="244"/>
    <col min="2817" max="2837" width="10.625" style="244" customWidth="1"/>
    <col min="2838" max="3072" width="9" style="244"/>
    <col min="3073" max="3093" width="10.625" style="244" customWidth="1"/>
    <col min="3094" max="3328" width="9" style="244"/>
    <col min="3329" max="3349" width="10.625" style="244" customWidth="1"/>
    <col min="3350" max="3584" width="9" style="244"/>
    <col min="3585" max="3605" width="10.625" style="244" customWidth="1"/>
    <col min="3606" max="3840" width="9" style="244"/>
    <col min="3841" max="3861" width="10.625" style="244" customWidth="1"/>
    <col min="3862" max="4096" width="9" style="244"/>
    <col min="4097" max="4117" width="10.625" style="244" customWidth="1"/>
    <col min="4118" max="4352" width="9" style="244"/>
    <col min="4353" max="4373" width="10.625" style="244" customWidth="1"/>
    <col min="4374" max="4608" width="9" style="244"/>
    <col min="4609" max="4629" width="10.625" style="244" customWidth="1"/>
    <col min="4630" max="4864" width="9" style="244"/>
    <col min="4865" max="4885" width="10.625" style="244" customWidth="1"/>
    <col min="4886" max="5120" width="9" style="244"/>
    <col min="5121" max="5141" width="10.625" style="244" customWidth="1"/>
    <col min="5142" max="5376" width="9" style="244"/>
    <col min="5377" max="5397" width="10.625" style="244" customWidth="1"/>
    <col min="5398" max="5632" width="9" style="244"/>
    <col min="5633" max="5653" width="10.625" style="244" customWidth="1"/>
    <col min="5654" max="5888" width="9" style="244"/>
    <col min="5889" max="5909" width="10.625" style="244" customWidth="1"/>
    <col min="5910" max="6144" width="9" style="244"/>
    <col min="6145" max="6165" width="10.625" style="244" customWidth="1"/>
    <col min="6166" max="6400" width="9" style="244"/>
    <col min="6401" max="6421" width="10.625" style="244" customWidth="1"/>
    <col min="6422" max="6656" width="9" style="244"/>
    <col min="6657" max="6677" width="10.625" style="244" customWidth="1"/>
    <col min="6678" max="6912" width="9" style="244"/>
    <col min="6913" max="6933" width="10.625" style="244" customWidth="1"/>
    <col min="6934" max="7168" width="9" style="244"/>
    <col min="7169" max="7189" width="10.625" style="244" customWidth="1"/>
    <col min="7190" max="7424" width="9" style="244"/>
    <col min="7425" max="7445" width="10.625" style="244" customWidth="1"/>
    <col min="7446" max="7680" width="9" style="244"/>
    <col min="7681" max="7701" width="10.625" style="244" customWidth="1"/>
    <col min="7702" max="7936" width="9" style="244"/>
    <col min="7937" max="7957" width="10.625" style="244" customWidth="1"/>
    <col min="7958" max="8192" width="9" style="244"/>
    <col min="8193" max="8213" width="10.625" style="244" customWidth="1"/>
    <col min="8214" max="8448" width="9" style="244"/>
    <col min="8449" max="8469" width="10.625" style="244" customWidth="1"/>
    <col min="8470" max="8704" width="9" style="244"/>
    <col min="8705" max="8725" width="10.625" style="244" customWidth="1"/>
    <col min="8726" max="8960" width="9" style="244"/>
    <col min="8961" max="8981" width="10.625" style="244" customWidth="1"/>
    <col min="8982" max="9216" width="9" style="244"/>
    <col min="9217" max="9237" width="10.625" style="244" customWidth="1"/>
    <col min="9238" max="9472" width="9" style="244"/>
    <col min="9473" max="9493" width="10.625" style="244" customWidth="1"/>
    <col min="9494" max="9728" width="9" style="244"/>
    <col min="9729" max="9749" width="10.625" style="244" customWidth="1"/>
    <col min="9750" max="9984" width="9" style="244"/>
    <col min="9985" max="10005" width="10.625" style="244" customWidth="1"/>
    <col min="10006" max="10240" width="9" style="244"/>
    <col min="10241" max="10261" width="10.625" style="244" customWidth="1"/>
    <col min="10262" max="10496" width="9" style="244"/>
    <col min="10497" max="10517" width="10.625" style="244" customWidth="1"/>
    <col min="10518" max="10752" width="9" style="244"/>
    <col min="10753" max="10773" width="10.625" style="244" customWidth="1"/>
    <col min="10774" max="11008" width="9" style="244"/>
    <col min="11009" max="11029" width="10.625" style="244" customWidth="1"/>
    <col min="11030" max="11264" width="9" style="244"/>
    <col min="11265" max="11285" width="10.625" style="244" customWidth="1"/>
    <col min="11286" max="11520" width="9" style="244"/>
    <col min="11521" max="11541" width="10.625" style="244" customWidth="1"/>
    <col min="11542" max="11776" width="9" style="244"/>
    <col min="11777" max="11797" width="10.625" style="244" customWidth="1"/>
    <col min="11798" max="12032" width="9" style="244"/>
    <col min="12033" max="12053" width="10.625" style="244" customWidth="1"/>
    <col min="12054" max="12288" width="9" style="244"/>
    <col min="12289" max="12309" width="10.625" style="244" customWidth="1"/>
    <col min="12310" max="12544" width="9" style="244"/>
    <col min="12545" max="12565" width="10.625" style="244" customWidth="1"/>
    <col min="12566" max="12800" width="9" style="244"/>
    <col min="12801" max="12821" width="10.625" style="244" customWidth="1"/>
    <col min="12822" max="13056" width="9" style="244"/>
    <col min="13057" max="13077" width="10.625" style="244" customWidth="1"/>
    <col min="13078" max="13312" width="9" style="244"/>
    <col min="13313" max="13333" width="10.625" style="244" customWidth="1"/>
    <col min="13334" max="13568" width="9" style="244"/>
    <col min="13569" max="13589" width="10.625" style="244" customWidth="1"/>
    <col min="13590" max="13824" width="9" style="244"/>
    <col min="13825" max="13845" width="10.625" style="244" customWidth="1"/>
    <col min="13846" max="14080" width="9" style="244"/>
    <col min="14081" max="14101" width="10.625" style="244" customWidth="1"/>
    <col min="14102" max="14336" width="9" style="244"/>
    <col min="14337" max="14357" width="10.625" style="244" customWidth="1"/>
    <col min="14358" max="14592" width="9" style="244"/>
    <col min="14593" max="14613" width="10.625" style="244" customWidth="1"/>
    <col min="14614" max="14848" width="9" style="244"/>
    <col min="14849" max="14869" width="10.625" style="244" customWidth="1"/>
    <col min="14870" max="15104" width="9" style="244"/>
    <col min="15105" max="15125" width="10.625" style="244" customWidth="1"/>
    <col min="15126" max="15360" width="9" style="244"/>
    <col min="15361" max="15381" width="10.625" style="244" customWidth="1"/>
    <col min="15382" max="15616" width="9" style="244"/>
    <col min="15617" max="15637" width="10.625" style="244" customWidth="1"/>
    <col min="15638" max="15872" width="9" style="244"/>
    <col min="15873" max="15893" width="10.625" style="244" customWidth="1"/>
    <col min="15894" max="16128" width="9" style="244"/>
    <col min="16129" max="16149" width="10.625" style="244" customWidth="1"/>
    <col min="16150" max="16384" width="9" style="244"/>
  </cols>
  <sheetData>
    <row r="1" spans="1:22" ht="20.100000000000001" customHeight="1">
      <c r="A1" s="392" t="s">
        <v>1222</v>
      </c>
      <c r="B1" s="393"/>
      <c r="C1" s="393"/>
      <c r="D1" s="393"/>
      <c r="E1" s="393"/>
      <c r="F1" s="393"/>
      <c r="G1" s="393"/>
      <c r="H1" s="393"/>
      <c r="I1" s="393"/>
      <c r="J1" s="393"/>
      <c r="K1" s="393"/>
      <c r="L1" s="393"/>
      <c r="M1" s="393"/>
      <c r="N1" s="393"/>
      <c r="O1" s="393"/>
      <c r="P1" s="393"/>
      <c r="Q1" s="393"/>
      <c r="R1" s="393"/>
      <c r="S1" s="393"/>
      <c r="T1" s="393"/>
      <c r="U1" s="394"/>
      <c r="V1" s="243" t="s">
        <v>1142</v>
      </c>
    </row>
    <row r="2" spans="1:22" ht="50.1" customHeight="1">
      <c r="A2" s="245" t="s">
        <v>1143</v>
      </c>
      <c r="B2" s="246" t="s">
        <v>1144</v>
      </c>
      <c r="C2" s="247" t="s">
        <v>1145</v>
      </c>
      <c r="D2" s="247" t="s">
        <v>1146</v>
      </c>
      <c r="E2" s="246" t="s">
        <v>1147</v>
      </c>
      <c r="F2" s="246" t="s">
        <v>1148</v>
      </c>
      <c r="G2" s="246" t="s">
        <v>753</v>
      </c>
      <c r="H2" s="246" t="s">
        <v>1149</v>
      </c>
      <c r="I2" s="248" t="s">
        <v>1139</v>
      </c>
      <c r="J2" s="246" t="s">
        <v>754</v>
      </c>
      <c r="K2" s="246" t="s">
        <v>1150</v>
      </c>
      <c r="L2" s="246" t="s">
        <v>1151</v>
      </c>
      <c r="M2" s="249" t="s">
        <v>1152</v>
      </c>
      <c r="N2" s="248" t="s">
        <v>1153</v>
      </c>
      <c r="O2" s="250" t="s">
        <v>1154</v>
      </c>
      <c r="P2" s="251" t="s">
        <v>1155</v>
      </c>
      <c r="Q2" s="249" t="s">
        <v>1156</v>
      </c>
      <c r="R2" s="246" t="s">
        <v>1157</v>
      </c>
      <c r="S2" s="248" t="s">
        <v>1158</v>
      </c>
      <c r="T2" s="249" t="s">
        <v>1159</v>
      </c>
      <c r="U2" s="252" t="s">
        <v>1160</v>
      </c>
    </row>
    <row r="3" spans="1:22" ht="20.100000000000001" customHeight="1">
      <c r="A3" s="253"/>
      <c r="B3" s="254"/>
      <c r="C3" s="254"/>
      <c r="D3" s="254"/>
      <c r="E3" s="254"/>
      <c r="F3" s="254"/>
      <c r="G3" s="254"/>
      <c r="H3" s="254"/>
      <c r="I3" s="254"/>
      <c r="J3" s="254"/>
      <c r="K3" s="254" t="s">
        <v>1161</v>
      </c>
      <c r="L3" s="254" t="s">
        <v>1161</v>
      </c>
      <c r="M3" s="254" t="s">
        <v>1161</v>
      </c>
      <c r="N3" s="254"/>
      <c r="O3" s="254"/>
      <c r="P3" s="254"/>
      <c r="Q3" s="254"/>
      <c r="R3" s="254" t="s">
        <v>1162</v>
      </c>
      <c r="S3" s="254"/>
      <c r="T3" s="254" t="s">
        <v>1163</v>
      </c>
      <c r="U3" s="255" t="s">
        <v>1161</v>
      </c>
    </row>
    <row r="4" spans="1:22" ht="20.100000000000001" customHeight="1">
      <c r="A4" s="253" t="s">
        <v>1164</v>
      </c>
      <c r="B4" s="256" t="s">
        <v>1165</v>
      </c>
      <c r="C4" s="257" t="s">
        <v>1166</v>
      </c>
      <c r="D4" s="257" t="s">
        <v>1167</v>
      </c>
      <c r="E4" s="254" t="s">
        <v>293</v>
      </c>
      <c r="F4" s="254" t="s">
        <v>1168</v>
      </c>
      <c r="G4" s="256" t="s">
        <v>1169</v>
      </c>
      <c r="H4" s="256" t="s">
        <v>1170</v>
      </c>
      <c r="I4" s="254" t="s">
        <v>1171</v>
      </c>
      <c r="J4" s="254" t="s">
        <v>1172</v>
      </c>
      <c r="K4" s="254" t="s">
        <v>1173</v>
      </c>
      <c r="L4" s="256" t="s">
        <v>1174</v>
      </c>
      <c r="M4" s="250" t="s">
        <v>1175</v>
      </c>
      <c r="N4" s="254" t="s">
        <v>1176</v>
      </c>
      <c r="O4" s="256" t="s">
        <v>1177</v>
      </c>
      <c r="P4" s="256" t="s">
        <v>1178</v>
      </c>
      <c r="Q4" s="256" t="s">
        <v>1179</v>
      </c>
      <c r="R4" s="256" t="s">
        <v>1180</v>
      </c>
      <c r="S4" s="254" t="s">
        <v>1181</v>
      </c>
      <c r="T4" s="254" t="s">
        <v>1182</v>
      </c>
      <c r="U4" s="255" t="s">
        <v>1183</v>
      </c>
    </row>
    <row r="5" spans="1:22" ht="20.100000000000001" customHeight="1">
      <c r="A5" s="253" t="s">
        <v>1184</v>
      </c>
      <c r="B5" s="254" t="s">
        <v>1184</v>
      </c>
      <c r="C5" s="254" t="s">
        <v>1184</v>
      </c>
      <c r="D5" s="254" t="s">
        <v>1185</v>
      </c>
      <c r="E5" s="256" t="s">
        <v>1186</v>
      </c>
      <c r="F5" s="254" t="s">
        <v>1187</v>
      </c>
      <c r="G5" s="257" t="s">
        <v>1188</v>
      </c>
      <c r="H5" s="257" t="s">
        <v>1189</v>
      </c>
      <c r="I5" s="257" t="s">
        <v>1188</v>
      </c>
      <c r="J5" s="254" t="s">
        <v>1187</v>
      </c>
      <c r="K5" s="257" t="s">
        <v>1189</v>
      </c>
      <c r="L5" s="257" t="s">
        <v>1189</v>
      </c>
      <c r="M5" s="257" t="s">
        <v>1190</v>
      </c>
      <c r="N5" s="256" t="s">
        <v>1191</v>
      </c>
      <c r="O5" s="256" t="s">
        <v>1192</v>
      </c>
      <c r="P5" s="257" t="s">
        <v>1190</v>
      </c>
      <c r="Q5" s="257" t="s">
        <v>1190</v>
      </c>
      <c r="R5" s="254" t="s">
        <v>1185</v>
      </c>
      <c r="S5" s="254" t="s">
        <v>1185</v>
      </c>
      <c r="T5" s="254"/>
      <c r="U5" s="258" t="s">
        <v>1190</v>
      </c>
    </row>
    <row r="6" spans="1:22" ht="50.1" customHeight="1">
      <c r="A6" s="253"/>
      <c r="B6" s="254"/>
      <c r="C6" s="254"/>
      <c r="D6" s="254"/>
      <c r="E6" s="259" t="s">
        <v>1193</v>
      </c>
      <c r="F6" s="259" t="s">
        <v>1194</v>
      </c>
      <c r="G6" s="259" t="s">
        <v>1193</v>
      </c>
      <c r="H6" s="259" t="s">
        <v>1195</v>
      </c>
      <c r="I6" s="259" t="s">
        <v>1193</v>
      </c>
      <c r="J6" s="259"/>
      <c r="K6" s="259" t="s">
        <v>1196</v>
      </c>
      <c r="L6" s="254" t="s">
        <v>1197</v>
      </c>
      <c r="M6" s="254" t="s">
        <v>1198</v>
      </c>
      <c r="N6" s="259" t="s">
        <v>1193</v>
      </c>
      <c r="O6" s="259" t="s">
        <v>1199</v>
      </c>
      <c r="P6" s="254" t="s">
        <v>1200</v>
      </c>
      <c r="Q6" s="254"/>
      <c r="R6" s="254"/>
      <c r="S6" s="260" t="s">
        <v>1201</v>
      </c>
      <c r="T6" s="260" t="s">
        <v>1202</v>
      </c>
      <c r="U6" s="261" t="s">
        <v>1203</v>
      </c>
    </row>
    <row r="7" spans="1:22" ht="20.100000000000001" customHeight="1">
      <c r="A7" s="253">
        <v>120</v>
      </c>
      <c r="B7" s="254" t="s">
        <v>1185</v>
      </c>
      <c r="C7" s="254">
        <v>3.8</v>
      </c>
      <c r="D7" s="254" t="s">
        <v>1185</v>
      </c>
      <c r="E7" s="254">
        <f>锅炉计算!G43</f>
        <v>86.754999999999995</v>
      </c>
      <c r="F7" s="254">
        <f>锅炉计算!G41</f>
        <v>24.9</v>
      </c>
      <c r="G7" s="262">
        <f>锅炉计算!G48</f>
        <v>1.2895732310383834</v>
      </c>
      <c r="H7" s="262">
        <f>G7*E7*273/(273+F7)/101.325</f>
        <v>1.0118498112442047</v>
      </c>
      <c r="I7" s="262">
        <f>锅炉计算!G158</f>
        <v>1.3055249574989787</v>
      </c>
      <c r="J7" s="263">
        <f>F39</f>
        <v>139.1040336475119</v>
      </c>
      <c r="K7" s="262">
        <f>I7*E7*273/(273+J7)/101.325</f>
        <v>0.740489427098593</v>
      </c>
      <c r="L7" s="262">
        <f>H7-K7</f>
        <v>0.2713603841456117</v>
      </c>
      <c r="M7" s="254" t="s">
        <v>1204</v>
      </c>
      <c r="N7" s="264">
        <f>3*锅炉计算!G156</f>
        <v>269.10939371850651</v>
      </c>
      <c r="O7" s="264">
        <f>N7/(0.785*C7^2)</f>
        <v>23.740617333178054</v>
      </c>
      <c r="P7" s="264">
        <f>O7^2*K7/2</f>
        <v>208.67618189816841</v>
      </c>
      <c r="Q7" s="254" t="s">
        <v>755</v>
      </c>
      <c r="R7" s="254" t="s">
        <v>1204</v>
      </c>
      <c r="S7" s="254" t="s">
        <v>1204</v>
      </c>
      <c r="T7" s="254" t="s">
        <v>1204</v>
      </c>
      <c r="U7" s="255" t="s">
        <v>1204</v>
      </c>
    </row>
    <row r="8" spans="1:22" ht="20.100000000000001" customHeight="1">
      <c r="A8" s="253">
        <f>A7-5</f>
        <v>115</v>
      </c>
      <c r="B8" s="254">
        <v>5</v>
      </c>
      <c r="C8" s="254">
        <f>C7+D8*(A7-A8)*2</f>
        <v>3.8</v>
      </c>
      <c r="D8" s="265">
        <v>0</v>
      </c>
      <c r="E8" s="254">
        <f>$E$7</f>
        <v>86.754999999999995</v>
      </c>
      <c r="F8" s="254">
        <f>$F$7</f>
        <v>24.9</v>
      </c>
      <c r="G8" s="262">
        <f>$G$7</f>
        <v>1.2895732310383834</v>
      </c>
      <c r="H8" s="262">
        <f t="shared" ref="H8:H31" si="0">G8*E8*273/(273+F8)/101.325</f>
        <v>1.0118498112442047</v>
      </c>
      <c r="I8" s="262">
        <f>$I$7</f>
        <v>1.3055249574989787</v>
      </c>
      <c r="J8" s="263">
        <f>$J$7</f>
        <v>139.1040336475119</v>
      </c>
      <c r="K8" s="262">
        <f t="shared" ref="K8:K31" si="1">I8*E8*273/(273+J8)/101.325</f>
        <v>0.740489427098593</v>
      </c>
      <c r="L8" s="262">
        <f t="shared" ref="L8:L31" si="2">H8-K8</f>
        <v>0.2713603841456117</v>
      </c>
      <c r="M8" s="264">
        <f>9.81*L8*B8</f>
        <v>13.310226842342255</v>
      </c>
      <c r="N8" s="264">
        <f>$N$7</f>
        <v>269.10939371850651</v>
      </c>
      <c r="O8" s="264">
        <f t="shared" ref="O8:O31" si="3">N8/(0.785*C8^2)</f>
        <v>23.740617333178054</v>
      </c>
      <c r="P8" s="264">
        <f t="shared" ref="P8:P31" si="4">O8^2*K8/2</f>
        <v>208.67618189816841</v>
      </c>
      <c r="Q8" s="264">
        <f>$P$7-P8</f>
        <v>0</v>
      </c>
      <c r="R8" s="254">
        <v>0.05</v>
      </c>
      <c r="S8" s="266">
        <f>R8*B8/C8</f>
        <v>6.5789473684210523E-2</v>
      </c>
      <c r="T8" s="264">
        <f>S8*P8</f>
        <v>13.728696177511079</v>
      </c>
      <c r="U8" s="267">
        <f>Q8+T8-M8</f>
        <v>0.41846933516882423</v>
      </c>
    </row>
    <row r="9" spans="1:22" ht="20.100000000000001" customHeight="1">
      <c r="A9" s="253">
        <f t="shared" ref="A9:A31" si="5">A8-5</f>
        <v>110</v>
      </c>
      <c r="B9" s="254">
        <f>B8+5</f>
        <v>10</v>
      </c>
      <c r="C9" s="254">
        <f t="shared" ref="C9:C14" si="6">C8+D9*(A8-A9)*2</f>
        <v>3.8</v>
      </c>
      <c r="D9" s="265">
        <f t="shared" ref="D9:D14" si="7">$D$8</f>
        <v>0</v>
      </c>
      <c r="E9" s="254">
        <f t="shared" ref="E9:E31" si="8">$E$7</f>
        <v>86.754999999999995</v>
      </c>
      <c r="F9" s="254">
        <f t="shared" ref="F9:F31" si="9">$F$7</f>
        <v>24.9</v>
      </c>
      <c r="G9" s="262">
        <f t="shared" ref="G9:G31" si="10">$G$7</f>
        <v>1.2895732310383834</v>
      </c>
      <c r="H9" s="262">
        <f t="shared" si="0"/>
        <v>1.0118498112442047</v>
      </c>
      <c r="I9" s="262">
        <f t="shared" ref="I9:I31" si="11">$I$7</f>
        <v>1.3055249574989787</v>
      </c>
      <c r="J9" s="263">
        <f t="shared" ref="J9:J31" si="12">$J$7</f>
        <v>139.1040336475119</v>
      </c>
      <c r="K9" s="262">
        <f t="shared" si="1"/>
        <v>0.740489427098593</v>
      </c>
      <c r="L9" s="262">
        <f t="shared" si="2"/>
        <v>0.2713603841456117</v>
      </c>
      <c r="M9" s="264">
        <f t="shared" ref="M9:M31" si="13">9.81*L9*B9</f>
        <v>26.620453684684509</v>
      </c>
      <c r="N9" s="264">
        <f t="shared" ref="N9:N31" si="14">$N$7</f>
        <v>269.10939371850651</v>
      </c>
      <c r="O9" s="264">
        <f t="shared" si="3"/>
        <v>23.740617333178054</v>
      </c>
      <c r="P9" s="264">
        <f t="shared" si="4"/>
        <v>208.67618189816841</v>
      </c>
      <c r="Q9" s="264">
        <f>$P$7-P9</f>
        <v>0</v>
      </c>
      <c r="R9" s="254">
        <f>$R$8</f>
        <v>0.05</v>
      </c>
      <c r="S9" s="266">
        <f t="shared" ref="S9:S15" si="15">R9*B9/C9</f>
        <v>0.13157894736842105</v>
      </c>
      <c r="T9" s="264">
        <f t="shared" ref="T9:T15" si="16">S9*P9</f>
        <v>27.457392355022158</v>
      </c>
      <c r="U9" s="267">
        <f t="shared" ref="U9:U31" si="17">Q9+T9-M9</f>
        <v>0.83693867033764846</v>
      </c>
    </row>
    <row r="10" spans="1:22" ht="20.100000000000001" customHeight="1">
      <c r="A10" s="253">
        <f t="shared" si="5"/>
        <v>105</v>
      </c>
      <c r="B10" s="254">
        <f t="shared" ref="B10:B31" si="18">B9+5</f>
        <v>15</v>
      </c>
      <c r="C10" s="254">
        <f t="shared" si="6"/>
        <v>3.8</v>
      </c>
      <c r="D10" s="265">
        <f t="shared" si="7"/>
        <v>0</v>
      </c>
      <c r="E10" s="254">
        <f t="shared" si="8"/>
        <v>86.754999999999995</v>
      </c>
      <c r="F10" s="254">
        <f t="shared" si="9"/>
        <v>24.9</v>
      </c>
      <c r="G10" s="262">
        <f t="shared" si="10"/>
        <v>1.2895732310383834</v>
      </c>
      <c r="H10" s="262">
        <f t="shared" si="0"/>
        <v>1.0118498112442047</v>
      </c>
      <c r="I10" s="262">
        <f t="shared" si="11"/>
        <v>1.3055249574989787</v>
      </c>
      <c r="J10" s="263">
        <f t="shared" si="12"/>
        <v>139.1040336475119</v>
      </c>
      <c r="K10" s="262">
        <f t="shared" si="1"/>
        <v>0.740489427098593</v>
      </c>
      <c r="L10" s="262">
        <f t="shared" si="2"/>
        <v>0.2713603841456117</v>
      </c>
      <c r="M10" s="264">
        <f t="shared" si="13"/>
        <v>39.930680527026766</v>
      </c>
      <c r="N10" s="264">
        <f t="shared" si="14"/>
        <v>269.10939371850651</v>
      </c>
      <c r="O10" s="264">
        <f t="shared" si="3"/>
        <v>23.740617333178054</v>
      </c>
      <c r="P10" s="264">
        <f t="shared" si="4"/>
        <v>208.67618189816841</v>
      </c>
      <c r="Q10" s="264">
        <f t="shared" ref="Q10:Q31" si="19">$P$7-P10</f>
        <v>0</v>
      </c>
      <c r="R10" s="254">
        <f t="shared" ref="R10:R31" si="20">$R$8</f>
        <v>0.05</v>
      </c>
      <c r="S10" s="266">
        <f t="shared" si="15"/>
        <v>0.19736842105263158</v>
      </c>
      <c r="T10" s="264">
        <f t="shared" si="16"/>
        <v>41.18608853253324</v>
      </c>
      <c r="U10" s="267">
        <f t="shared" si="17"/>
        <v>1.2554080055064745</v>
      </c>
    </row>
    <row r="11" spans="1:22" ht="20.100000000000001" customHeight="1">
      <c r="A11" s="253">
        <f t="shared" si="5"/>
        <v>100</v>
      </c>
      <c r="B11" s="254">
        <f t="shared" si="18"/>
        <v>20</v>
      </c>
      <c r="C11" s="254">
        <f t="shared" si="6"/>
        <v>3.8</v>
      </c>
      <c r="D11" s="265">
        <f t="shared" si="7"/>
        <v>0</v>
      </c>
      <c r="E11" s="254">
        <f t="shared" si="8"/>
        <v>86.754999999999995</v>
      </c>
      <c r="F11" s="254">
        <f t="shared" si="9"/>
        <v>24.9</v>
      </c>
      <c r="G11" s="262">
        <f t="shared" si="10"/>
        <v>1.2895732310383834</v>
      </c>
      <c r="H11" s="262">
        <f t="shared" si="0"/>
        <v>1.0118498112442047</v>
      </c>
      <c r="I11" s="262">
        <f t="shared" si="11"/>
        <v>1.3055249574989787</v>
      </c>
      <c r="J11" s="263">
        <f t="shared" si="12"/>
        <v>139.1040336475119</v>
      </c>
      <c r="K11" s="262">
        <f t="shared" si="1"/>
        <v>0.740489427098593</v>
      </c>
      <c r="L11" s="262">
        <f t="shared" si="2"/>
        <v>0.2713603841456117</v>
      </c>
      <c r="M11" s="264">
        <f t="shared" si="13"/>
        <v>53.240907369369019</v>
      </c>
      <c r="N11" s="264">
        <f t="shared" si="14"/>
        <v>269.10939371850651</v>
      </c>
      <c r="O11" s="264">
        <f t="shared" si="3"/>
        <v>23.740617333178054</v>
      </c>
      <c r="P11" s="264">
        <f t="shared" si="4"/>
        <v>208.67618189816841</v>
      </c>
      <c r="Q11" s="264">
        <f t="shared" si="19"/>
        <v>0</v>
      </c>
      <c r="R11" s="254">
        <f t="shared" si="20"/>
        <v>0.05</v>
      </c>
      <c r="S11" s="266">
        <f t="shared" si="15"/>
        <v>0.26315789473684209</v>
      </c>
      <c r="T11" s="264">
        <f t="shared" si="16"/>
        <v>54.914784710044316</v>
      </c>
      <c r="U11" s="267">
        <f t="shared" si="17"/>
        <v>1.6738773406752969</v>
      </c>
    </row>
    <row r="12" spans="1:22" ht="20.100000000000001" customHeight="1">
      <c r="A12" s="253">
        <f t="shared" si="5"/>
        <v>95</v>
      </c>
      <c r="B12" s="254">
        <f t="shared" si="18"/>
        <v>25</v>
      </c>
      <c r="C12" s="282">
        <f t="shared" si="6"/>
        <v>3.8</v>
      </c>
      <c r="D12" s="265">
        <f t="shared" si="7"/>
        <v>0</v>
      </c>
      <c r="E12" s="254">
        <f t="shared" si="8"/>
        <v>86.754999999999995</v>
      </c>
      <c r="F12" s="254">
        <f t="shared" si="9"/>
        <v>24.9</v>
      </c>
      <c r="G12" s="262">
        <f t="shared" si="10"/>
        <v>1.2895732310383834</v>
      </c>
      <c r="H12" s="262">
        <f t="shared" si="0"/>
        <v>1.0118498112442047</v>
      </c>
      <c r="I12" s="262">
        <f t="shared" si="11"/>
        <v>1.3055249574989787</v>
      </c>
      <c r="J12" s="263">
        <f t="shared" si="12"/>
        <v>139.1040336475119</v>
      </c>
      <c r="K12" s="262">
        <f t="shared" si="1"/>
        <v>0.740489427098593</v>
      </c>
      <c r="L12" s="262">
        <f t="shared" si="2"/>
        <v>0.2713603841456117</v>
      </c>
      <c r="M12" s="264">
        <f t="shared" si="13"/>
        <v>66.551134211711272</v>
      </c>
      <c r="N12" s="264">
        <f t="shared" si="14"/>
        <v>269.10939371850651</v>
      </c>
      <c r="O12" s="264">
        <f t="shared" si="3"/>
        <v>23.740617333178054</v>
      </c>
      <c r="P12" s="264">
        <f t="shared" si="4"/>
        <v>208.67618189816841</v>
      </c>
      <c r="Q12" s="264">
        <f t="shared" si="19"/>
        <v>0</v>
      </c>
      <c r="R12" s="254">
        <f t="shared" si="20"/>
        <v>0.05</v>
      </c>
      <c r="S12" s="266">
        <f t="shared" si="15"/>
        <v>0.32894736842105265</v>
      </c>
      <c r="T12" s="264">
        <f t="shared" si="16"/>
        <v>68.643480887555398</v>
      </c>
      <c r="U12" s="267">
        <f t="shared" si="17"/>
        <v>2.0923466758441265</v>
      </c>
    </row>
    <row r="13" spans="1:22" ht="20.100000000000001" customHeight="1">
      <c r="A13" s="253">
        <f t="shared" si="5"/>
        <v>90</v>
      </c>
      <c r="B13" s="254">
        <f t="shared" si="18"/>
        <v>30</v>
      </c>
      <c r="C13" s="282">
        <f t="shared" si="6"/>
        <v>3.8</v>
      </c>
      <c r="D13" s="265">
        <f t="shared" si="7"/>
        <v>0</v>
      </c>
      <c r="E13" s="254">
        <f t="shared" si="8"/>
        <v>86.754999999999995</v>
      </c>
      <c r="F13" s="254">
        <f t="shared" si="9"/>
        <v>24.9</v>
      </c>
      <c r="G13" s="262">
        <f t="shared" si="10"/>
        <v>1.2895732310383834</v>
      </c>
      <c r="H13" s="262">
        <f t="shared" si="0"/>
        <v>1.0118498112442047</v>
      </c>
      <c r="I13" s="262">
        <f t="shared" si="11"/>
        <v>1.3055249574989787</v>
      </c>
      <c r="J13" s="263">
        <f t="shared" si="12"/>
        <v>139.1040336475119</v>
      </c>
      <c r="K13" s="262">
        <f t="shared" si="1"/>
        <v>0.740489427098593</v>
      </c>
      <c r="L13" s="262">
        <f t="shared" si="2"/>
        <v>0.2713603841456117</v>
      </c>
      <c r="M13" s="264">
        <f t="shared" si="13"/>
        <v>79.861361054053532</v>
      </c>
      <c r="N13" s="264">
        <f t="shared" si="14"/>
        <v>269.10939371850651</v>
      </c>
      <c r="O13" s="264">
        <f t="shared" si="3"/>
        <v>23.740617333178054</v>
      </c>
      <c r="P13" s="264">
        <f t="shared" si="4"/>
        <v>208.67618189816841</v>
      </c>
      <c r="Q13" s="264">
        <f t="shared" si="19"/>
        <v>0</v>
      </c>
      <c r="R13" s="254">
        <f t="shared" si="20"/>
        <v>0.05</v>
      </c>
      <c r="S13" s="266">
        <f t="shared" si="15"/>
        <v>0.39473684210526316</v>
      </c>
      <c r="T13" s="264">
        <f t="shared" si="16"/>
        <v>82.372177065066481</v>
      </c>
      <c r="U13" s="267">
        <f t="shared" si="17"/>
        <v>2.5108160110129489</v>
      </c>
    </row>
    <row r="14" spans="1:22" ht="20.100000000000001" customHeight="1">
      <c r="A14" s="253">
        <f t="shared" si="5"/>
        <v>85</v>
      </c>
      <c r="B14" s="254">
        <f t="shared" si="18"/>
        <v>35</v>
      </c>
      <c r="C14" s="282">
        <f t="shared" si="6"/>
        <v>3.8</v>
      </c>
      <c r="D14" s="265">
        <f t="shared" si="7"/>
        <v>0</v>
      </c>
      <c r="E14" s="254">
        <f t="shared" si="8"/>
        <v>86.754999999999995</v>
      </c>
      <c r="F14" s="254">
        <f t="shared" si="9"/>
        <v>24.9</v>
      </c>
      <c r="G14" s="262">
        <f t="shared" si="10"/>
        <v>1.2895732310383834</v>
      </c>
      <c r="H14" s="262">
        <f t="shared" si="0"/>
        <v>1.0118498112442047</v>
      </c>
      <c r="I14" s="262">
        <f t="shared" si="11"/>
        <v>1.3055249574989787</v>
      </c>
      <c r="J14" s="263">
        <f t="shared" si="12"/>
        <v>139.1040336475119</v>
      </c>
      <c r="K14" s="262">
        <f t="shared" si="1"/>
        <v>0.740489427098593</v>
      </c>
      <c r="L14" s="262">
        <f t="shared" si="2"/>
        <v>0.2713603841456117</v>
      </c>
      <c r="M14" s="264">
        <f t="shared" si="13"/>
        <v>93.171587896395778</v>
      </c>
      <c r="N14" s="264">
        <f t="shared" si="14"/>
        <v>269.10939371850651</v>
      </c>
      <c r="O14" s="264">
        <f t="shared" si="3"/>
        <v>23.740617333178054</v>
      </c>
      <c r="P14" s="264">
        <f t="shared" si="4"/>
        <v>208.67618189816841</v>
      </c>
      <c r="Q14" s="264">
        <f t="shared" si="19"/>
        <v>0</v>
      </c>
      <c r="R14" s="254">
        <f t="shared" si="20"/>
        <v>0.05</v>
      </c>
      <c r="S14" s="266">
        <f t="shared" si="15"/>
        <v>0.46052631578947373</v>
      </c>
      <c r="T14" s="264">
        <f t="shared" si="16"/>
        <v>96.100873242577563</v>
      </c>
      <c r="U14" s="267">
        <f t="shared" si="17"/>
        <v>2.9292853461817856</v>
      </c>
    </row>
    <row r="15" spans="1:22" ht="20.100000000000001" customHeight="1">
      <c r="A15" s="253">
        <f t="shared" si="5"/>
        <v>80</v>
      </c>
      <c r="B15" s="254">
        <f t="shared" si="18"/>
        <v>40</v>
      </c>
      <c r="C15" s="282">
        <f>C14+D15*(A14-A15)*2</f>
        <v>3.8</v>
      </c>
      <c r="D15" s="265">
        <v>0</v>
      </c>
      <c r="E15" s="254">
        <f t="shared" si="8"/>
        <v>86.754999999999995</v>
      </c>
      <c r="F15" s="254">
        <f t="shared" si="9"/>
        <v>24.9</v>
      </c>
      <c r="G15" s="262">
        <f t="shared" si="10"/>
        <v>1.2895732310383834</v>
      </c>
      <c r="H15" s="262">
        <f t="shared" si="0"/>
        <v>1.0118498112442047</v>
      </c>
      <c r="I15" s="262">
        <f t="shared" si="11"/>
        <v>1.3055249574989787</v>
      </c>
      <c r="J15" s="263">
        <f t="shared" si="12"/>
        <v>139.1040336475119</v>
      </c>
      <c r="K15" s="262">
        <f t="shared" si="1"/>
        <v>0.740489427098593</v>
      </c>
      <c r="L15" s="262">
        <f t="shared" si="2"/>
        <v>0.2713603841456117</v>
      </c>
      <c r="M15" s="264">
        <f t="shared" si="13"/>
        <v>106.48181473873804</v>
      </c>
      <c r="N15" s="264">
        <f t="shared" si="14"/>
        <v>269.10939371850651</v>
      </c>
      <c r="O15" s="264">
        <f t="shared" si="3"/>
        <v>23.740617333178054</v>
      </c>
      <c r="P15" s="264">
        <f t="shared" si="4"/>
        <v>208.67618189816841</v>
      </c>
      <c r="Q15" s="264">
        <f t="shared" si="19"/>
        <v>0</v>
      </c>
      <c r="R15" s="254">
        <f t="shared" si="20"/>
        <v>0.05</v>
      </c>
      <c r="S15" s="266">
        <f t="shared" si="15"/>
        <v>0.52631578947368418</v>
      </c>
      <c r="T15" s="264">
        <f t="shared" si="16"/>
        <v>109.82956942008863</v>
      </c>
      <c r="U15" s="267">
        <f t="shared" si="17"/>
        <v>3.3477546813505938</v>
      </c>
    </row>
    <row r="16" spans="1:22" ht="20.100000000000001" customHeight="1">
      <c r="A16" s="253">
        <f t="shared" si="5"/>
        <v>75</v>
      </c>
      <c r="B16" s="254">
        <f t="shared" si="18"/>
        <v>45</v>
      </c>
      <c r="C16" s="282">
        <f t="shared" ref="C16:C31" si="21">C15+D16*(A15-A16)*2</f>
        <v>4</v>
      </c>
      <c r="D16" s="265">
        <v>0.02</v>
      </c>
      <c r="E16" s="254">
        <f t="shared" si="8"/>
        <v>86.754999999999995</v>
      </c>
      <c r="F16" s="254">
        <f t="shared" si="9"/>
        <v>24.9</v>
      </c>
      <c r="G16" s="262">
        <f t="shared" si="10"/>
        <v>1.2895732310383834</v>
      </c>
      <c r="H16" s="262">
        <f t="shared" si="0"/>
        <v>1.0118498112442047</v>
      </c>
      <c r="I16" s="262">
        <f t="shared" si="11"/>
        <v>1.3055249574989787</v>
      </c>
      <c r="J16" s="263">
        <f t="shared" si="12"/>
        <v>139.1040336475119</v>
      </c>
      <c r="K16" s="262">
        <f t="shared" si="1"/>
        <v>0.740489427098593</v>
      </c>
      <c r="L16" s="262">
        <f t="shared" si="2"/>
        <v>0.2713603841456117</v>
      </c>
      <c r="M16" s="264">
        <f t="shared" si="13"/>
        <v>119.79204158108028</v>
      </c>
      <c r="N16" s="264">
        <f t="shared" si="14"/>
        <v>269.10939371850651</v>
      </c>
      <c r="O16" s="264">
        <f t="shared" si="3"/>
        <v>21.425907143193193</v>
      </c>
      <c r="P16" s="264">
        <f t="shared" si="4"/>
        <v>169.96805438219502</v>
      </c>
      <c r="Q16" s="264">
        <f t="shared" si="19"/>
        <v>38.708127515973388</v>
      </c>
      <c r="R16" s="254">
        <f t="shared" si="20"/>
        <v>0.05</v>
      </c>
      <c r="S16" s="266">
        <f t="shared" ref="S16:S31" si="22">R16/8/D16</f>
        <v>0.3125</v>
      </c>
      <c r="T16" s="264">
        <f>S16*Q16</f>
        <v>12.096289848741684</v>
      </c>
      <c r="U16" s="267">
        <f t="shared" si="17"/>
        <v>-68.987624216365219</v>
      </c>
    </row>
    <row r="17" spans="1:21" ht="20.100000000000001" customHeight="1">
      <c r="A17" s="253">
        <f t="shared" si="5"/>
        <v>70</v>
      </c>
      <c r="B17" s="254">
        <f t="shared" si="18"/>
        <v>50</v>
      </c>
      <c r="C17" s="282">
        <f t="shared" si="21"/>
        <v>4.2</v>
      </c>
      <c r="D17" s="265">
        <f t="shared" ref="D17:D31" si="23">D16</f>
        <v>0.02</v>
      </c>
      <c r="E17" s="254">
        <f t="shared" si="8"/>
        <v>86.754999999999995</v>
      </c>
      <c r="F17" s="254">
        <f t="shared" si="9"/>
        <v>24.9</v>
      </c>
      <c r="G17" s="262">
        <f t="shared" si="10"/>
        <v>1.2895732310383834</v>
      </c>
      <c r="H17" s="262">
        <f t="shared" si="0"/>
        <v>1.0118498112442047</v>
      </c>
      <c r="I17" s="262">
        <f t="shared" si="11"/>
        <v>1.3055249574989787</v>
      </c>
      <c r="J17" s="263">
        <f t="shared" si="12"/>
        <v>139.1040336475119</v>
      </c>
      <c r="K17" s="262">
        <f t="shared" si="1"/>
        <v>0.740489427098593</v>
      </c>
      <c r="L17" s="262">
        <f t="shared" si="2"/>
        <v>0.2713603841456117</v>
      </c>
      <c r="M17" s="264">
        <f t="shared" si="13"/>
        <v>133.10226842342254</v>
      </c>
      <c r="N17" s="264">
        <f t="shared" si="14"/>
        <v>269.10939371850651</v>
      </c>
      <c r="O17" s="264">
        <f t="shared" si="3"/>
        <v>19.433929381581127</v>
      </c>
      <c r="P17" s="264">
        <f t="shared" si="4"/>
        <v>139.83313897579302</v>
      </c>
      <c r="Q17" s="264">
        <f t="shared" si="19"/>
        <v>68.843042922375389</v>
      </c>
      <c r="R17" s="254">
        <f t="shared" si="20"/>
        <v>0.05</v>
      </c>
      <c r="S17" s="266">
        <f t="shared" si="22"/>
        <v>0.3125</v>
      </c>
      <c r="T17" s="264">
        <f t="shared" ref="T17:T23" si="24">S17*Q17</f>
        <v>21.513450913242309</v>
      </c>
      <c r="U17" s="267">
        <f t="shared" si="17"/>
        <v>-42.745774587804846</v>
      </c>
    </row>
    <row r="18" spans="1:21" ht="20.100000000000001" customHeight="1">
      <c r="A18" s="253">
        <f t="shared" si="5"/>
        <v>65</v>
      </c>
      <c r="B18" s="254">
        <f t="shared" si="18"/>
        <v>55</v>
      </c>
      <c r="C18" s="282">
        <f t="shared" si="21"/>
        <v>4.4000000000000004</v>
      </c>
      <c r="D18" s="265">
        <f t="shared" si="23"/>
        <v>0.02</v>
      </c>
      <c r="E18" s="254">
        <f t="shared" si="8"/>
        <v>86.754999999999995</v>
      </c>
      <c r="F18" s="254">
        <f t="shared" si="9"/>
        <v>24.9</v>
      </c>
      <c r="G18" s="262">
        <f t="shared" si="10"/>
        <v>1.2895732310383834</v>
      </c>
      <c r="H18" s="262">
        <f t="shared" si="0"/>
        <v>1.0118498112442047</v>
      </c>
      <c r="I18" s="262">
        <f t="shared" si="11"/>
        <v>1.3055249574989787</v>
      </c>
      <c r="J18" s="263">
        <f t="shared" si="12"/>
        <v>139.1040336475119</v>
      </c>
      <c r="K18" s="262">
        <f t="shared" si="1"/>
        <v>0.740489427098593</v>
      </c>
      <c r="L18" s="262">
        <f t="shared" si="2"/>
        <v>0.2713603841456117</v>
      </c>
      <c r="M18" s="264">
        <f t="shared" si="13"/>
        <v>146.41249526576479</v>
      </c>
      <c r="N18" s="264">
        <f t="shared" si="14"/>
        <v>269.10939371850651</v>
      </c>
      <c r="O18" s="264">
        <f t="shared" si="3"/>
        <v>17.707361275366271</v>
      </c>
      <c r="P18" s="264">
        <f t="shared" si="4"/>
        <v>116.09046812526121</v>
      </c>
      <c r="Q18" s="264">
        <f t="shared" si="19"/>
        <v>92.585713772907198</v>
      </c>
      <c r="R18" s="254">
        <f t="shared" si="20"/>
        <v>0.05</v>
      </c>
      <c r="S18" s="266">
        <f t="shared" si="22"/>
        <v>0.3125</v>
      </c>
      <c r="T18" s="264">
        <f t="shared" si="24"/>
        <v>28.933035554033498</v>
      </c>
      <c r="U18" s="267">
        <f t="shared" si="17"/>
        <v>-24.893745938824097</v>
      </c>
    </row>
    <row r="19" spans="1:21" ht="20.100000000000001" customHeight="1">
      <c r="A19" s="253">
        <f t="shared" si="5"/>
        <v>60</v>
      </c>
      <c r="B19" s="254">
        <f t="shared" si="18"/>
        <v>60</v>
      </c>
      <c r="C19" s="282">
        <f t="shared" si="21"/>
        <v>4.6000000000000005</v>
      </c>
      <c r="D19" s="265">
        <f t="shared" si="23"/>
        <v>0.02</v>
      </c>
      <c r="E19" s="254">
        <f t="shared" si="8"/>
        <v>86.754999999999995</v>
      </c>
      <c r="F19" s="254">
        <f t="shared" si="9"/>
        <v>24.9</v>
      </c>
      <c r="G19" s="262">
        <f t="shared" si="10"/>
        <v>1.2895732310383834</v>
      </c>
      <c r="H19" s="262">
        <f t="shared" si="0"/>
        <v>1.0118498112442047</v>
      </c>
      <c r="I19" s="262">
        <f t="shared" si="11"/>
        <v>1.3055249574989787</v>
      </c>
      <c r="J19" s="263">
        <f t="shared" si="12"/>
        <v>139.1040336475119</v>
      </c>
      <c r="K19" s="262">
        <f t="shared" si="1"/>
        <v>0.740489427098593</v>
      </c>
      <c r="L19" s="262">
        <f t="shared" si="2"/>
        <v>0.2713603841456117</v>
      </c>
      <c r="M19" s="264">
        <f t="shared" si="13"/>
        <v>159.72272210810706</v>
      </c>
      <c r="N19" s="264">
        <f t="shared" si="14"/>
        <v>269.10939371850651</v>
      </c>
      <c r="O19" s="264">
        <f t="shared" si="3"/>
        <v>16.201064002414508</v>
      </c>
      <c r="P19" s="264">
        <f t="shared" si="4"/>
        <v>97.179786740153119</v>
      </c>
      <c r="Q19" s="264">
        <f t="shared" si="19"/>
        <v>111.49639515801529</v>
      </c>
      <c r="R19" s="254">
        <f t="shared" si="20"/>
        <v>0.05</v>
      </c>
      <c r="S19" s="266">
        <f t="shared" si="22"/>
        <v>0.3125</v>
      </c>
      <c r="T19" s="264">
        <f t="shared" si="24"/>
        <v>34.842623486879781</v>
      </c>
      <c r="U19" s="267">
        <f t="shared" si="17"/>
        <v>-13.383703463211987</v>
      </c>
    </row>
    <row r="20" spans="1:21" ht="20.100000000000001" customHeight="1">
      <c r="A20" s="253">
        <f t="shared" si="5"/>
        <v>55</v>
      </c>
      <c r="B20" s="254">
        <f t="shared" si="18"/>
        <v>65</v>
      </c>
      <c r="C20" s="282">
        <f t="shared" si="21"/>
        <v>4.8000000000000007</v>
      </c>
      <c r="D20" s="265">
        <f t="shared" si="23"/>
        <v>0.02</v>
      </c>
      <c r="E20" s="254">
        <f t="shared" si="8"/>
        <v>86.754999999999995</v>
      </c>
      <c r="F20" s="254">
        <f t="shared" si="9"/>
        <v>24.9</v>
      </c>
      <c r="G20" s="262">
        <f t="shared" si="10"/>
        <v>1.2895732310383834</v>
      </c>
      <c r="H20" s="262">
        <f t="shared" si="0"/>
        <v>1.0118498112442047</v>
      </c>
      <c r="I20" s="262">
        <f t="shared" si="11"/>
        <v>1.3055249574989787</v>
      </c>
      <c r="J20" s="263">
        <f t="shared" si="12"/>
        <v>139.1040336475119</v>
      </c>
      <c r="K20" s="262">
        <f t="shared" si="1"/>
        <v>0.740489427098593</v>
      </c>
      <c r="L20" s="262">
        <f t="shared" si="2"/>
        <v>0.2713603841456117</v>
      </c>
      <c r="M20" s="264">
        <f t="shared" si="13"/>
        <v>173.03294895044931</v>
      </c>
      <c r="N20" s="264">
        <f t="shared" si="14"/>
        <v>269.10939371850651</v>
      </c>
      <c r="O20" s="264">
        <f t="shared" si="3"/>
        <v>14.879102182773048</v>
      </c>
      <c r="P20" s="264">
        <f t="shared" si="4"/>
        <v>81.967618818573953</v>
      </c>
      <c r="Q20" s="264">
        <f t="shared" si="19"/>
        <v>126.70856307959446</v>
      </c>
      <c r="R20" s="254">
        <f t="shared" si="20"/>
        <v>0.05</v>
      </c>
      <c r="S20" s="266">
        <f t="shared" si="22"/>
        <v>0.3125</v>
      </c>
      <c r="T20" s="264">
        <f t="shared" si="24"/>
        <v>39.596425962373267</v>
      </c>
      <c r="U20" s="267">
        <f t="shared" si="17"/>
        <v>-6.72795990848158</v>
      </c>
    </row>
    <row r="21" spans="1:21" ht="20.100000000000001" customHeight="1">
      <c r="A21" s="253">
        <f t="shared" si="5"/>
        <v>50</v>
      </c>
      <c r="B21" s="254">
        <f t="shared" si="18"/>
        <v>70</v>
      </c>
      <c r="C21" s="282">
        <f t="shared" si="21"/>
        <v>5.0000000000000009</v>
      </c>
      <c r="D21" s="265">
        <f t="shared" si="23"/>
        <v>0.02</v>
      </c>
      <c r="E21" s="254">
        <f t="shared" si="8"/>
        <v>86.754999999999995</v>
      </c>
      <c r="F21" s="254">
        <f t="shared" si="9"/>
        <v>24.9</v>
      </c>
      <c r="G21" s="262">
        <f t="shared" si="10"/>
        <v>1.2895732310383834</v>
      </c>
      <c r="H21" s="262">
        <f t="shared" si="0"/>
        <v>1.0118498112442047</v>
      </c>
      <c r="I21" s="262">
        <f t="shared" si="11"/>
        <v>1.3055249574989787</v>
      </c>
      <c r="J21" s="263">
        <f t="shared" si="12"/>
        <v>139.1040336475119</v>
      </c>
      <c r="K21" s="262">
        <f t="shared" si="1"/>
        <v>0.740489427098593</v>
      </c>
      <c r="L21" s="262">
        <f t="shared" si="2"/>
        <v>0.2713603841456117</v>
      </c>
      <c r="M21" s="264">
        <f t="shared" si="13"/>
        <v>186.34317579279156</v>
      </c>
      <c r="N21" s="264">
        <f t="shared" si="14"/>
        <v>269.10939371850651</v>
      </c>
      <c r="O21" s="264">
        <f t="shared" si="3"/>
        <v>13.712580571643638</v>
      </c>
      <c r="P21" s="264">
        <f t="shared" si="4"/>
        <v>69.618915074947026</v>
      </c>
      <c r="Q21" s="264">
        <f t="shared" si="19"/>
        <v>139.05726682322137</v>
      </c>
      <c r="R21" s="254">
        <f t="shared" si="20"/>
        <v>0.05</v>
      </c>
      <c r="S21" s="266">
        <f t="shared" si="22"/>
        <v>0.3125</v>
      </c>
      <c r="T21" s="264">
        <f t="shared" si="24"/>
        <v>43.455395882256681</v>
      </c>
      <c r="U21" s="267">
        <f t="shared" si="17"/>
        <v>-3.8305130873135056</v>
      </c>
    </row>
    <row r="22" spans="1:21" ht="20.100000000000001" customHeight="1">
      <c r="A22" s="253">
        <f t="shared" si="5"/>
        <v>45</v>
      </c>
      <c r="B22" s="254">
        <f t="shared" si="18"/>
        <v>75</v>
      </c>
      <c r="C22" s="282">
        <f t="shared" si="21"/>
        <v>5.2000000000000011</v>
      </c>
      <c r="D22" s="265">
        <f t="shared" si="23"/>
        <v>0.02</v>
      </c>
      <c r="E22" s="254">
        <f t="shared" si="8"/>
        <v>86.754999999999995</v>
      </c>
      <c r="F22" s="254">
        <f t="shared" si="9"/>
        <v>24.9</v>
      </c>
      <c r="G22" s="262">
        <f t="shared" si="10"/>
        <v>1.2895732310383834</v>
      </c>
      <c r="H22" s="262">
        <f t="shared" si="0"/>
        <v>1.0118498112442047</v>
      </c>
      <c r="I22" s="262">
        <f t="shared" si="11"/>
        <v>1.3055249574989787</v>
      </c>
      <c r="J22" s="263">
        <f t="shared" si="12"/>
        <v>139.1040336475119</v>
      </c>
      <c r="K22" s="262">
        <f t="shared" si="1"/>
        <v>0.740489427098593</v>
      </c>
      <c r="L22" s="262">
        <f t="shared" si="2"/>
        <v>0.2713603841456117</v>
      </c>
      <c r="M22" s="264">
        <f t="shared" si="13"/>
        <v>199.6534026351338</v>
      </c>
      <c r="N22" s="264">
        <f t="shared" si="14"/>
        <v>269.10939371850651</v>
      </c>
      <c r="O22" s="264">
        <f t="shared" si="3"/>
        <v>12.678051564019636</v>
      </c>
      <c r="P22" s="264">
        <f t="shared" si="4"/>
        <v>59.510540381007281</v>
      </c>
      <c r="Q22" s="264">
        <f t="shared" si="19"/>
        <v>149.16564151716113</v>
      </c>
      <c r="R22" s="254">
        <f t="shared" si="20"/>
        <v>0.05</v>
      </c>
      <c r="S22" s="266">
        <f t="shared" si="22"/>
        <v>0.3125</v>
      </c>
      <c r="T22" s="264">
        <f t="shared" si="24"/>
        <v>46.614262974112854</v>
      </c>
      <c r="U22" s="267">
        <f t="shared" si="17"/>
        <v>-3.8734981438598197</v>
      </c>
    </row>
    <row r="23" spans="1:21" ht="20.100000000000001" customHeight="1">
      <c r="A23" s="253">
        <f t="shared" si="5"/>
        <v>40</v>
      </c>
      <c r="B23" s="254">
        <f t="shared" si="18"/>
        <v>80</v>
      </c>
      <c r="C23" s="282">
        <f t="shared" si="21"/>
        <v>5.4000000000000012</v>
      </c>
      <c r="D23" s="265">
        <f t="shared" si="23"/>
        <v>0.02</v>
      </c>
      <c r="E23" s="254">
        <f t="shared" si="8"/>
        <v>86.754999999999995</v>
      </c>
      <c r="F23" s="254">
        <f t="shared" si="9"/>
        <v>24.9</v>
      </c>
      <c r="G23" s="262">
        <f t="shared" si="10"/>
        <v>1.2895732310383834</v>
      </c>
      <c r="H23" s="262">
        <f t="shared" si="0"/>
        <v>1.0118498112442047</v>
      </c>
      <c r="I23" s="262">
        <f t="shared" si="11"/>
        <v>1.3055249574989787</v>
      </c>
      <c r="J23" s="263">
        <f t="shared" si="12"/>
        <v>139.1040336475119</v>
      </c>
      <c r="K23" s="262">
        <f t="shared" si="1"/>
        <v>0.740489427098593</v>
      </c>
      <c r="L23" s="262">
        <f t="shared" si="2"/>
        <v>0.2713603841456117</v>
      </c>
      <c r="M23" s="264">
        <f t="shared" si="13"/>
        <v>212.96362947747608</v>
      </c>
      <c r="N23" s="264">
        <f t="shared" si="14"/>
        <v>269.10939371850651</v>
      </c>
      <c r="O23" s="264">
        <f t="shared" si="3"/>
        <v>11.756327650586108</v>
      </c>
      <c r="P23" s="264">
        <f t="shared" si="4"/>
        <v>51.171980899387094</v>
      </c>
      <c r="Q23" s="264">
        <f t="shared" si="19"/>
        <v>157.5042009987813</v>
      </c>
      <c r="R23" s="254">
        <f t="shared" si="20"/>
        <v>0.05</v>
      </c>
      <c r="S23" s="266">
        <f t="shared" si="22"/>
        <v>0.3125</v>
      </c>
      <c r="T23" s="264">
        <f t="shared" si="24"/>
        <v>49.220062812119153</v>
      </c>
      <c r="U23" s="267">
        <f t="shared" si="17"/>
        <v>-6.2393656665756225</v>
      </c>
    </row>
    <row r="24" spans="1:21" ht="20.100000000000001" customHeight="1">
      <c r="A24" s="253">
        <f t="shared" si="5"/>
        <v>35</v>
      </c>
      <c r="B24" s="254">
        <f t="shared" si="18"/>
        <v>85</v>
      </c>
      <c r="C24" s="282">
        <f t="shared" si="21"/>
        <v>5.6000000000000014</v>
      </c>
      <c r="D24" s="265">
        <v>0.02</v>
      </c>
      <c r="E24" s="254">
        <f t="shared" si="8"/>
        <v>86.754999999999995</v>
      </c>
      <c r="F24" s="254">
        <f t="shared" si="9"/>
        <v>24.9</v>
      </c>
      <c r="G24" s="262">
        <f t="shared" si="10"/>
        <v>1.2895732310383834</v>
      </c>
      <c r="H24" s="262">
        <f t="shared" si="0"/>
        <v>1.0118498112442047</v>
      </c>
      <c r="I24" s="262">
        <f t="shared" si="11"/>
        <v>1.3055249574989787</v>
      </c>
      <c r="J24" s="263">
        <f t="shared" si="12"/>
        <v>139.1040336475119</v>
      </c>
      <c r="K24" s="262">
        <f t="shared" si="1"/>
        <v>0.740489427098593</v>
      </c>
      <c r="L24" s="262">
        <f t="shared" si="2"/>
        <v>0.2713603841456117</v>
      </c>
      <c r="M24" s="264">
        <f t="shared" si="13"/>
        <v>226.27385631981832</v>
      </c>
      <c r="N24" s="264">
        <f t="shared" si="14"/>
        <v>269.10939371850651</v>
      </c>
      <c r="O24" s="264">
        <f t="shared" si="3"/>
        <v>10.931585277139378</v>
      </c>
      <c r="P24" s="264">
        <f t="shared" si="4"/>
        <v>44.244079129059465</v>
      </c>
      <c r="Q24" s="264">
        <f t="shared" si="19"/>
        <v>164.43210276910895</v>
      </c>
      <c r="R24" s="254">
        <f t="shared" si="20"/>
        <v>0.05</v>
      </c>
      <c r="S24" s="266">
        <f t="shared" si="22"/>
        <v>0.3125</v>
      </c>
      <c r="T24" s="264">
        <f>S24*Q24</f>
        <v>51.385032115346547</v>
      </c>
      <c r="U24" s="267">
        <f t="shared" si="17"/>
        <v>-10.456721435362823</v>
      </c>
    </row>
    <row r="25" spans="1:21" ht="20.100000000000001" customHeight="1">
      <c r="A25" s="253">
        <f t="shared" si="5"/>
        <v>30</v>
      </c>
      <c r="B25" s="254">
        <f t="shared" si="18"/>
        <v>90</v>
      </c>
      <c r="C25" s="282">
        <f t="shared" si="21"/>
        <v>5.8000000000000016</v>
      </c>
      <c r="D25" s="265">
        <f t="shared" si="23"/>
        <v>0.02</v>
      </c>
      <c r="E25" s="254">
        <f t="shared" si="8"/>
        <v>86.754999999999995</v>
      </c>
      <c r="F25" s="254">
        <f t="shared" si="9"/>
        <v>24.9</v>
      </c>
      <c r="G25" s="262">
        <f t="shared" si="10"/>
        <v>1.2895732310383834</v>
      </c>
      <c r="H25" s="262">
        <f t="shared" si="0"/>
        <v>1.0118498112442047</v>
      </c>
      <c r="I25" s="262">
        <f t="shared" si="11"/>
        <v>1.3055249574989787</v>
      </c>
      <c r="J25" s="263">
        <f t="shared" si="12"/>
        <v>139.1040336475119</v>
      </c>
      <c r="K25" s="262">
        <f t="shared" si="1"/>
        <v>0.740489427098593</v>
      </c>
      <c r="L25" s="262">
        <f t="shared" si="2"/>
        <v>0.2713603841456117</v>
      </c>
      <c r="M25" s="264">
        <f t="shared" si="13"/>
        <v>239.58408316216057</v>
      </c>
      <c r="N25" s="264">
        <f t="shared" si="14"/>
        <v>269.10939371850651</v>
      </c>
      <c r="O25" s="264">
        <f t="shared" si="3"/>
        <v>10.19068116204194</v>
      </c>
      <c r="P25" s="264">
        <f t="shared" si="4"/>
        <v>38.449907039990002</v>
      </c>
      <c r="Q25" s="264">
        <f t="shared" si="19"/>
        <v>170.22627485817841</v>
      </c>
      <c r="R25" s="254">
        <f t="shared" si="20"/>
        <v>0.05</v>
      </c>
      <c r="S25" s="266">
        <f t="shared" si="22"/>
        <v>0.3125</v>
      </c>
      <c r="T25" s="264">
        <f t="shared" ref="T25:T31" si="25">S25*Q25</f>
        <v>53.195710893180753</v>
      </c>
      <c r="U25" s="267">
        <f t="shared" si="17"/>
        <v>-16.162097410801408</v>
      </c>
    </row>
    <row r="26" spans="1:21" ht="20.100000000000001" customHeight="1">
      <c r="A26" s="253">
        <f t="shared" si="5"/>
        <v>25</v>
      </c>
      <c r="B26" s="254">
        <f t="shared" si="18"/>
        <v>95</v>
      </c>
      <c r="C26" s="282">
        <f t="shared" si="21"/>
        <v>6.0000000000000018</v>
      </c>
      <c r="D26" s="265">
        <f t="shared" si="23"/>
        <v>0.02</v>
      </c>
      <c r="E26" s="254">
        <f t="shared" si="8"/>
        <v>86.754999999999995</v>
      </c>
      <c r="F26" s="254">
        <f t="shared" si="9"/>
        <v>24.9</v>
      </c>
      <c r="G26" s="262">
        <f t="shared" si="10"/>
        <v>1.2895732310383834</v>
      </c>
      <c r="H26" s="262">
        <f t="shared" si="0"/>
        <v>1.0118498112442047</v>
      </c>
      <c r="I26" s="262">
        <f t="shared" si="11"/>
        <v>1.3055249574989787</v>
      </c>
      <c r="J26" s="263">
        <f t="shared" si="12"/>
        <v>139.1040336475119</v>
      </c>
      <c r="K26" s="262">
        <f t="shared" si="1"/>
        <v>0.740489427098593</v>
      </c>
      <c r="L26" s="262">
        <f t="shared" si="2"/>
        <v>0.2713603841456117</v>
      </c>
      <c r="M26" s="264">
        <f t="shared" si="13"/>
        <v>252.89431000450284</v>
      </c>
      <c r="N26" s="264">
        <f t="shared" si="14"/>
        <v>269.10939371850651</v>
      </c>
      <c r="O26" s="264">
        <f t="shared" si="3"/>
        <v>9.5226253969747461</v>
      </c>
      <c r="P26" s="264">
        <f t="shared" si="4"/>
        <v>33.57393666808786</v>
      </c>
      <c r="Q26" s="264">
        <f t="shared" si="19"/>
        <v>175.10224523008054</v>
      </c>
      <c r="R26" s="254">
        <f t="shared" si="20"/>
        <v>0.05</v>
      </c>
      <c r="S26" s="266">
        <f t="shared" si="22"/>
        <v>0.3125</v>
      </c>
      <c r="T26" s="264">
        <f t="shared" si="25"/>
        <v>54.719451634400173</v>
      </c>
      <c r="U26" s="267">
        <f t="shared" si="17"/>
        <v>-23.072613140022128</v>
      </c>
    </row>
    <row r="27" spans="1:21" ht="20.100000000000001" customHeight="1">
      <c r="A27" s="253">
        <f t="shared" si="5"/>
        <v>20</v>
      </c>
      <c r="B27" s="254">
        <f t="shared" si="18"/>
        <v>100</v>
      </c>
      <c r="C27" s="282">
        <f t="shared" si="21"/>
        <v>6.200000000000002</v>
      </c>
      <c r="D27" s="265">
        <f t="shared" si="23"/>
        <v>0.02</v>
      </c>
      <c r="E27" s="254">
        <f t="shared" si="8"/>
        <v>86.754999999999995</v>
      </c>
      <c r="F27" s="254">
        <f t="shared" si="9"/>
        <v>24.9</v>
      </c>
      <c r="G27" s="262">
        <f t="shared" si="10"/>
        <v>1.2895732310383834</v>
      </c>
      <c r="H27" s="262">
        <f t="shared" si="0"/>
        <v>1.0118498112442047</v>
      </c>
      <c r="I27" s="262">
        <f t="shared" si="11"/>
        <v>1.3055249574989787</v>
      </c>
      <c r="J27" s="263">
        <f t="shared" si="12"/>
        <v>139.1040336475119</v>
      </c>
      <c r="K27" s="262">
        <f t="shared" si="1"/>
        <v>0.740489427098593</v>
      </c>
      <c r="L27" s="262">
        <f t="shared" si="2"/>
        <v>0.2713603841456117</v>
      </c>
      <c r="M27" s="264">
        <f t="shared" si="13"/>
        <v>266.20453684684509</v>
      </c>
      <c r="N27" s="264">
        <f t="shared" si="14"/>
        <v>269.10939371850651</v>
      </c>
      <c r="O27" s="264">
        <f t="shared" si="3"/>
        <v>8.9181715476350387</v>
      </c>
      <c r="P27" s="264">
        <f t="shared" si="4"/>
        <v>29.446962983138633</v>
      </c>
      <c r="Q27" s="264">
        <f t="shared" si="19"/>
        <v>179.22921891502978</v>
      </c>
      <c r="R27" s="254">
        <f t="shared" si="20"/>
        <v>0.05</v>
      </c>
      <c r="S27" s="266">
        <f t="shared" si="22"/>
        <v>0.3125</v>
      </c>
      <c r="T27" s="264">
        <f t="shared" si="25"/>
        <v>56.009130910946809</v>
      </c>
      <c r="U27" s="267">
        <f t="shared" si="17"/>
        <v>-30.966187020868517</v>
      </c>
    </row>
    <row r="28" spans="1:21" ht="20.100000000000001" customHeight="1">
      <c r="A28" s="253">
        <f t="shared" si="5"/>
        <v>15</v>
      </c>
      <c r="B28" s="254">
        <f t="shared" si="18"/>
        <v>105</v>
      </c>
      <c r="C28" s="282">
        <f t="shared" si="21"/>
        <v>6.4000000000000021</v>
      </c>
      <c r="D28" s="265">
        <f t="shared" si="23"/>
        <v>0.02</v>
      </c>
      <c r="E28" s="254">
        <f t="shared" si="8"/>
        <v>86.754999999999995</v>
      </c>
      <c r="F28" s="254">
        <f t="shared" si="9"/>
        <v>24.9</v>
      </c>
      <c r="G28" s="262">
        <f t="shared" si="10"/>
        <v>1.2895732310383834</v>
      </c>
      <c r="H28" s="262">
        <f t="shared" si="0"/>
        <v>1.0118498112442047</v>
      </c>
      <c r="I28" s="262">
        <f t="shared" si="11"/>
        <v>1.3055249574989787</v>
      </c>
      <c r="J28" s="263">
        <f t="shared" si="12"/>
        <v>139.1040336475119</v>
      </c>
      <c r="K28" s="262">
        <f t="shared" si="1"/>
        <v>0.740489427098593</v>
      </c>
      <c r="L28" s="262">
        <f t="shared" si="2"/>
        <v>0.2713603841456117</v>
      </c>
      <c r="M28" s="264">
        <f t="shared" si="13"/>
        <v>279.51476368918736</v>
      </c>
      <c r="N28" s="264">
        <f t="shared" si="14"/>
        <v>269.10939371850651</v>
      </c>
      <c r="O28" s="264">
        <f t="shared" si="3"/>
        <v>8.3694949778098344</v>
      </c>
      <c r="P28" s="264">
        <f t="shared" si="4"/>
        <v>25.935066891814387</v>
      </c>
      <c r="Q28" s="264">
        <f t="shared" si="19"/>
        <v>182.74111500635402</v>
      </c>
      <c r="R28" s="254">
        <f t="shared" si="20"/>
        <v>0.05</v>
      </c>
      <c r="S28" s="266">
        <f t="shared" si="22"/>
        <v>0.3125</v>
      </c>
      <c r="T28" s="264">
        <f t="shared" si="25"/>
        <v>57.10659843948563</v>
      </c>
      <c r="U28" s="267">
        <f t="shared" si="17"/>
        <v>-39.667050243347717</v>
      </c>
    </row>
    <row r="29" spans="1:21" ht="20.100000000000001" customHeight="1">
      <c r="A29" s="253">
        <f t="shared" si="5"/>
        <v>10</v>
      </c>
      <c r="B29" s="254">
        <f t="shared" si="18"/>
        <v>110</v>
      </c>
      <c r="C29" s="282">
        <f t="shared" si="21"/>
        <v>6.6000000000000023</v>
      </c>
      <c r="D29" s="265">
        <f t="shared" si="23"/>
        <v>0.02</v>
      </c>
      <c r="E29" s="254">
        <f t="shared" si="8"/>
        <v>86.754999999999995</v>
      </c>
      <c r="F29" s="254">
        <f t="shared" si="9"/>
        <v>24.9</v>
      </c>
      <c r="G29" s="262">
        <f t="shared" si="10"/>
        <v>1.2895732310383834</v>
      </c>
      <c r="H29" s="262">
        <f t="shared" si="0"/>
        <v>1.0118498112442047</v>
      </c>
      <c r="I29" s="262">
        <f t="shared" si="11"/>
        <v>1.3055249574989787</v>
      </c>
      <c r="J29" s="263">
        <f t="shared" si="12"/>
        <v>139.1040336475119</v>
      </c>
      <c r="K29" s="262">
        <f t="shared" si="1"/>
        <v>0.740489427098593</v>
      </c>
      <c r="L29" s="262">
        <f t="shared" si="2"/>
        <v>0.2713603841456117</v>
      </c>
      <c r="M29" s="264">
        <f t="shared" si="13"/>
        <v>292.82499053152958</v>
      </c>
      <c r="N29" s="264">
        <f t="shared" si="14"/>
        <v>269.10939371850651</v>
      </c>
      <c r="O29" s="264">
        <f t="shared" si="3"/>
        <v>7.8699383446072284</v>
      </c>
      <c r="P29" s="264">
        <f t="shared" si="4"/>
        <v>22.931450493878742</v>
      </c>
      <c r="Q29" s="264">
        <f t="shared" si="19"/>
        <v>185.74473140428967</v>
      </c>
      <c r="R29" s="254">
        <f t="shared" si="20"/>
        <v>0.05</v>
      </c>
      <c r="S29" s="266">
        <f t="shared" si="22"/>
        <v>0.3125</v>
      </c>
      <c r="T29" s="264">
        <f t="shared" si="25"/>
        <v>58.045228563840524</v>
      </c>
      <c r="U29" s="267">
        <f t="shared" si="17"/>
        <v>-49.035030563399403</v>
      </c>
    </row>
    <row r="30" spans="1:21" ht="20.100000000000001" customHeight="1">
      <c r="A30" s="253">
        <f t="shared" si="5"/>
        <v>5</v>
      </c>
      <c r="B30" s="254">
        <f t="shared" si="18"/>
        <v>115</v>
      </c>
      <c r="C30" s="282">
        <f t="shared" si="21"/>
        <v>6.8000000000000025</v>
      </c>
      <c r="D30" s="265">
        <f t="shared" si="23"/>
        <v>0.02</v>
      </c>
      <c r="E30" s="254">
        <f t="shared" si="8"/>
        <v>86.754999999999995</v>
      </c>
      <c r="F30" s="254">
        <f t="shared" si="9"/>
        <v>24.9</v>
      </c>
      <c r="G30" s="262">
        <f t="shared" si="10"/>
        <v>1.2895732310383834</v>
      </c>
      <c r="H30" s="262">
        <f t="shared" si="0"/>
        <v>1.0118498112442047</v>
      </c>
      <c r="I30" s="262">
        <f t="shared" si="11"/>
        <v>1.3055249574989787</v>
      </c>
      <c r="J30" s="263">
        <f t="shared" si="12"/>
        <v>139.1040336475119</v>
      </c>
      <c r="K30" s="262">
        <f t="shared" si="1"/>
        <v>0.740489427098593</v>
      </c>
      <c r="L30" s="262">
        <f t="shared" si="2"/>
        <v>0.2713603841456117</v>
      </c>
      <c r="M30" s="264">
        <f t="shared" si="13"/>
        <v>306.13521737387185</v>
      </c>
      <c r="N30" s="264">
        <f t="shared" si="14"/>
        <v>269.10939371850651</v>
      </c>
      <c r="O30" s="264">
        <f t="shared" si="3"/>
        <v>7.413808700066844</v>
      </c>
      <c r="P30" s="264">
        <f t="shared" si="4"/>
        <v>20.350337565665498</v>
      </c>
      <c r="Q30" s="264">
        <f t="shared" si="19"/>
        <v>188.32584433250292</v>
      </c>
      <c r="R30" s="254">
        <f t="shared" si="20"/>
        <v>0.05</v>
      </c>
      <c r="S30" s="266">
        <f t="shared" si="22"/>
        <v>0.3125</v>
      </c>
      <c r="T30" s="264">
        <f t="shared" si="25"/>
        <v>58.851826353907164</v>
      </c>
      <c r="U30" s="267">
        <f t="shared" si="17"/>
        <v>-58.957546687461758</v>
      </c>
    </row>
    <row r="31" spans="1:21" ht="20.100000000000001" customHeight="1" thickBot="1">
      <c r="A31" s="268">
        <f t="shared" si="5"/>
        <v>0</v>
      </c>
      <c r="B31" s="269">
        <f t="shared" si="18"/>
        <v>120</v>
      </c>
      <c r="C31" s="282">
        <f t="shared" si="21"/>
        <v>7.0000000000000027</v>
      </c>
      <c r="D31" s="270">
        <f t="shared" si="23"/>
        <v>0.02</v>
      </c>
      <c r="E31" s="269">
        <f t="shared" si="8"/>
        <v>86.754999999999995</v>
      </c>
      <c r="F31" s="269">
        <f t="shared" si="9"/>
        <v>24.9</v>
      </c>
      <c r="G31" s="271">
        <f t="shared" si="10"/>
        <v>1.2895732310383834</v>
      </c>
      <c r="H31" s="271">
        <f t="shared" si="0"/>
        <v>1.0118498112442047</v>
      </c>
      <c r="I31" s="271">
        <f t="shared" si="11"/>
        <v>1.3055249574989787</v>
      </c>
      <c r="J31" s="272">
        <f t="shared" si="12"/>
        <v>139.1040336475119</v>
      </c>
      <c r="K31" s="271">
        <f t="shared" si="1"/>
        <v>0.740489427098593</v>
      </c>
      <c r="L31" s="271">
        <f t="shared" si="2"/>
        <v>0.2713603841456117</v>
      </c>
      <c r="M31" s="273">
        <f t="shared" si="13"/>
        <v>319.44544421621413</v>
      </c>
      <c r="N31" s="273">
        <f t="shared" si="14"/>
        <v>269.10939371850651</v>
      </c>
      <c r="O31" s="273">
        <f t="shared" si="3"/>
        <v>6.9962145773692006</v>
      </c>
      <c r="P31" s="273">
        <f t="shared" si="4"/>
        <v>18.122374811262748</v>
      </c>
      <c r="Q31" s="273">
        <f t="shared" si="19"/>
        <v>190.55380708690566</v>
      </c>
      <c r="R31" s="269">
        <f t="shared" si="20"/>
        <v>0.05</v>
      </c>
      <c r="S31" s="274">
        <f t="shared" si="22"/>
        <v>0.3125</v>
      </c>
      <c r="T31" s="273">
        <f t="shared" si="25"/>
        <v>59.548064714658018</v>
      </c>
      <c r="U31" s="275">
        <f t="shared" si="17"/>
        <v>-69.343572414650453</v>
      </c>
    </row>
    <row r="33" spans="1:6" ht="20.100000000000001" customHeight="1">
      <c r="A33" s="283" t="s">
        <v>798</v>
      </c>
      <c r="B33" s="284" t="s">
        <v>1207</v>
      </c>
      <c r="C33" s="125"/>
      <c r="D33" s="125"/>
      <c r="E33" s="125"/>
      <c r="F33" s="281"/>
    </row>
    <row r="34" spans="1:6" ht="20.100000000000001" customHeight="1">
      <c r="A34" s="240" t="s">
        <v>33</v>
      </c>
      <c r="B34" s="286" t="s">
        <v>1208</v>
      </c>
      <c r="C34" s="276" t="s">
        <v>1209</v>
      </c>
      <c r="D34" s="276" t="s">
        <v>1210</v>
      </c>
      <c r="E34" s="163"/>
      <c r="F34" s="288">
        <v>60</v>
      </c>
    </row>
    <row r="35" spans="1:6" ht="20.100000000000001" customHeight="1">
      <c r="A35" s="240" t="s">
        <v>34</v>
      </c>
      <c r="B35" s="286" t="s">
        <v>1211</v>
      </c>
      <c r="C35" s="279" t="s">
        <v>1212</v>
      </c>
      <c r="D35" s="278" t="s">
        <v>296</v>
      </c>
      <c r="E35" s="278" t="s">
        <v>1213</v>
      </c>
      <c r="F35" s="285">
        <f>F34*0.05</f>
        <v>3</v>
      </c>
    </row>
    <row r="36" spans="1:6" ht="20.100000000000001" customHeight="1">
      <c r="A36" s="240" t="s">
        <v>35</v>
      </c>
      <c r="B36" s="287" t="s">
        <v>1217</v>
      </c>
      <c r="C36" s="279" t="s">
        <v>295</v>
      </c>
      <c r="D36" s="279" t="s">
        <v>296</v>
      </c>
      <c r="E36" s="277" t="s">
        <v>1141</v>
      </c>
      <c r="F36" s="285">
        <f>锅炉计算!G44</f>
        <v>9.58</v>
      </c>
    </row>
    <row r="37" spans="1:6" ht="20.100000000000001" customHeight="1">
      <c r="A37" s="240" t="s">
        <v>36</v>
      </c>
      <c r="B37" s="287" t="s">
        <v>1219</v>
      </c>
      <c r="C37" s="279" t="s">
        <v>1214</v>
      </c>
      <c r="D37" s="279" t="s">
        <v>296</v>
      </c>
      <c r="E37" s="277" t="s">
        <v>1141</v>
      </c>
      <c r="F37" s="285">
        <f>锅炉计算!G149</f>
        <v>140.6040336475119</v>
      </c>
    </row>
    <row r="38" spans="1:6" ht="20.100000000000001" customHeight="1">
      <c r="A38" s="240" t="s">
        <v>37</v>
      </c>
      <c r="B38" s="287" t="s">
        <v>1218</v>
      </c>
      <c r="C38" s="279" t="s">
        <v>1215</v>
      </c>
      <c r="D38" s="279" t="s">
        <v>296</v>
      </c>
      <c r="E38" s="279" t="s">
        <v>1216</v>
      </c>
      <c r="F38" s="285">
        <f>F37-F35</f>
        <v>137.6040336475119</v>
      </c>
    </row>
    <row r="39" spans="1:6" ht="20.100000000000001" customHeight="1">
      <c r="A39" s="240" t="s">
        <v>38</v>
      </c>
      <c r="B39" s="287" t="s">
        <v>1221</v>
      </c>
      <c r="C39" s="279" t="s">
        <v>1140</v>
      </c>
      <c r="D39" s="279" t="s">
        <v>296</v>
      </c>
      <c r="E39" s="277" t="s">
        <v>1220</v>
      </c>
      <c r="F39" s="285">
        <f>(F37+F38)/2</f>
        <v>139.1040336475119</v>
      </c>
    </row>
  </sheetData>
  <mergeCells count="1">
    <mergeCell ref="A1:U1"/>
  </mergeCells>
  <phoneticPr fontId="1" type="noConversion"/>
  <pageMargins left="0.7" right="0.7" top="0.75" bottom="0.75" header="0.3" footer="0.3"/>
  <pageSetup paperSize="8" scale="87" fitToHeight="0" orientation="landscape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249977111117893"/>
  </sheetPr>
  <dimension ref="B1:I2"/>
  <sheetViews>
    <sheetView tabSelected="1" workbookViewId="0">
      <selection activeCell="I1" sqref="I1"/>
    </sheetView>
  </sheetViews>
  <sheetFormatPr defaultRowHeight="13.5"/>
  <sheetData>
    <row r="1" spans="2:9" ht="86.25" customHeight="1">
      <c r="D1" s="325" t="s">
        <v>1372</v>
      </c>
      <c r="I1" s="328" t="s">
        <v>1966</v>
      </c>
    </row>
    <row r="2" spans="2:9">
      <c r="B2" t="s">
        <v>145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"/>
  <sheetViews>
    <sheetView topLeftCell="A13" workbookViewId="0">
      <selection activeCell="I42" sqref="I42"/>
    </sheetView>
  </sheetViews>
  <sheetFormatPr defaultRowHeight="13.5"/>
  <sheetData/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9" workbookViewId="0">
      <selection activeCell="B128" sqref="B128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3" tint="0.39997558519241921"/>
  </sheetPr>
  <dimension ref="A1:K168"/>
  <sheetViews>
    <sheetView topLeftCell="A160" zoomScaleNormal="100" workbookViewId="0">
      <selection activeCell="A61" sqref="A61"/>
    </sheetView>
  </sheetViews>
  <sheetFormatPr defaultRowHeight="16.5" customHeight="1"/>
  <cols>
    <col min="1" max="1" width="31" style="331" customWidth="1"/>
    <col min="3" max="3" width="39.125" customWidth="1"/>
    <col min="5" max="5" width="13" customWidth="1"/>
    <col min="6" max="6" width="48.625" customWidth="1"/>
    <col min="7" max="7" width="15.5" style="6" customWidth="1"/>
    <col min="8" max="8" width="18.125" style="6" customWidth="1"/>
    <col min="9" max="9" width="15.375" customWidth="1"/>
  </cols>
  <sheetData>
    <row r="1" spans="1:9" ht="16.5" customHeight="1">
      <c r="B1" s="8" t="s">
        <v>30</v>
      </c>
      <c r="C1" s="8" t="s">
        <v>31</v>
      </c>
      <c r="D1" s="5"/>
      <c r="E1" s="5"/>
      <c r="F1" s="5"/>
      <c r="G1" s="10"/>
      <c r="H1" s="10"/>
    </row>
    <row r="2" spans="1:9" ht="16.5" customHeight="1">
      <c r="B2" s="364" t="s">
        <v>32</v>
      </c>
      <c r="C2" s="366" t="s">
        <v>0</v>
      </c>
      <c r="D2" s="366" t="s">
        <v>1</v>
      </c>
      <c r="E2" s="366" t="s">
        <v>2</v>
      </c>
      <c r="F2" s="366" t="s">
        <v>45</v>
      </c>
      <c r="G2" s="362" t="s">
        <v>3</v>
      </c>
      <c r="H2" s="362"/>
    </row>
    <row r="3" spans="1:9" ht="16.5" customHeight="1">
      <c r="B3" s="364"/>
      <c r="C3" s="366"/>
      <c r="D3" s="366"/>
      <c r="E3" s="366"/>
      <c r="F3" s="366"/>
      <c r="G3" s="11" t="s">
        <v>23</v>
      </c>
      <c r="H3" s="11" t="s">
        <v>1350</v>
      </c>
    </row>
    <row r="4" spans="1:9" ht="16.5" customHeight="1">
      <c r="A4" s="332" t="s">
        <v>1375</v>
      </c>
      <c r="B4" s="7" t="s">
        <v>33</v>
      </c>
      <c r="C4" s="3" t="s">
        <v>4</v>
      </c>
      <c r="D4" s="2" t="s">
        <v>12</v>
      </c>
      <c r="E4" s="2" t="s">
        <v>19</v>
      </c>
      <c r="F4" s="2" t="s">
        <v>26</v>
      </c>
      <c r="G4" s="12">
        <v>37.61</v>
      </c>
      <c r="H4" s="12">
        <v>66.400000000000006</v>
      </c>
    </row>
    <row r="5" spans="1:9" ht="16.5" customHeight="1">
      <c r="A5" s="332" t="s">
        <v>1375</v>
      </c>
      <c r="B5" s="7" t="s">
        <v>34</v>
      </c>
      <c r="C5" s="3" t="s">
        <v>5</v>
      </c>
      <c r="D5" s="2" t="s">
        <v>13</v>
      </c>
      <c r="E5" s="2" t="s">
        <v>19</v>
      </c>
      <c r="F5" s="2" t="s">
        <v>26</v>
      </c>
      <c r="G5" s="12">
        <v>2.58</v>
      </c>
      <c r="H5" s="12">
        <v>4.08</v>
      </c>
    </row>
    <row r="6" spans="1:9" ht="16.5" customHeight="1">
      <c r="A6" s="332" t="s">
        <v>1375</v>
      </c>
      <c r="B6" s="7" t="s">
        <v>35</v>
      </c>
      <c r="C6" s="3" t="s">
        <v>6</v>
      </c>
      <c r="D6" s="2" t="s">
        <v>14</v>
      </c>
      <c r="E6" s="2" t="s">
        <v>19</v>
      </c>
      <c r="F6" s="2" t="s">
        <v>26</v>
      </c>
      <c r="G6" s="12">
        <v>11.8</v>
      </c>
      <c r="H6" s="12">
        <v>8.86</v>
      </c>
    </row>
    <row r="7" spans="1:9" ht="16.5" customHeight="1">
      <c r="A7" s="332" t="s">
        <v>1375</v>
      </c>
      <c r="B7" s="7" t="s">
        <v>36</v>
      </c>
      <c r="C7" s="3" t="s">
        <v>7</v>
      </c>
      <c r="D7" s="2" t="s">
        <v>15</v>
      </c>
      <c r="E7" s="2" t="s">
        <v>19</v>
      </c>
      <c r="F7" s="2" t="s">
        <v>26</v>
      </c>
      <c r="G7" s="12">
        <v>0.36</v>
      </c>
      <c r="H7" s="12">
        <v>0.85</v>
      </c>
    </row>
    <row r="8" spans="1:9" ht="16.5" customHeight="1">
      <c r="A8" s="332" t="s">
        <v>1375</v>
      </c>
      <c r="B8" s="7" t="s">
        <v>37</v>
      </c>
      <c r="C8" s="3" t="s">
        <v>8</v>
      </c>
      <c r="D8" s="2" t="s">
        <v>16</v>
      </c>
      <c r="E8" s="2" t="s">
        <v>19</v>
      </c>
      <c r="F8" s="2" t="s">
        <v>26</v>
      </c>
      <c r="G8" s="12">
        <v>0.44</v>
      </c>
      <c r="H8" s="12">
        <v>2.2999999999999998</v>
      </c>
    </row>
    <row r="9" spans="1:9" ht="16.5" customHeight="1">
      <c r="A9" s="332" t="s">
        <v>1375</v>
      </c>
      <c r="B9" s="7" t="s">
        <v>38</v>
      </c>
      <c r="C9" s="3" t="s">
        <v>9</v>
      </c>
      <c r="D9" s="2" t="s">
        <v>17</v>
      </c>
      <c r="E9" s="2" t="s">
        <v>19</v>
      </c>
      <c r="F9" s="2" t="s">
        <v>1358</v>
      </c>
      <c r="G9" s="12">
        <v>20.41</v>
      </c>
      <c r="H9" s="12">
        <v>8.41</v>
      </c>
    </row>
    <row r="10" spans="1:9" ht="16.5" customHeight="1">
      <c r="A10" s="332" t="s">
        <v>1375</v>
      </c>
      <c r="B10" s="7" t="s">
        <v>39</v>
      </c>
      <c r="C10" s="3" t="s">
        <v>10</v>
      </c>
      <c r="D10" s="2" t="s">
        <v>18</v>
      </c>
      <c r="E10" s="2" t="s">
        <v>19</v>
      </c>
      <c r="F10" s="2" t="s">
        <v>1357</v>
      </c>
      <c r="G10" s="12">
        <v>26.8</v>
      </c>
      <c r="H10" s="12">
        <v>9.1</v>
      </c>
    </row>
    <row r="11" spans="1:9" ht="16.5" customHeight="1">
      <c r="A11" s="332"/>
      <c r="B11" s="7" t="s">
        <v>40</v>
      </c>
      <c r="C11" s="3" t="s">
        <v>25</v>
      </c>
      <c r="D11" s="2">
        <v>100</v>
      </c>
      <c r="E11" s="2" t="s">
        <v>19</v>
      </c>
      <c r="F11" s="2" t="s">
        <v>46</v>
      </c>
      <c r="G11" s="13">
        <f>SUM(G4:G10)</f>
        <v>99.999999999999986</v>
      </c>
      <c r="H11" s="13">
        <f>SUM(H4:H10)</f>
        <v>99.999999999999986</v>
      </c>
      <c r="I11" s="6">
        <f>H11-G11</f>
        <v>0</v>
      </c>
    </row>
    <row r="12" spans="1:9" ht="16.5" customHeight="1">
      <c r="A12" s="332" t="s">
        <v>1375</v>
      </c>
      <c r="B12" s="314" t="s">
        <v>41</v>
      </c>
      <c r="C12" s="313" t="s">
        <v>1349</v>
      </c>
      <c r="D12" s="315" t="s">
        <v>1348</v>
      </c>
      <c r="E12" s="315" t="s">
        <v>19</v>
      </c>
      <c r="F12" s="315" t="s">
        <v>1356</v>
      </c>
      <c r="G12" s="13">
        <v>82.74</v>
      </c>
      <c r="H12" s="13">
        <v>36.590000000000003</v>
      </c>
      <c r="I12" s="6"/>
    </row>
    <row r="13" spans="1:9" ht="16.5" customHeight="1">
      <c r="A13" s="332" t="s">
        <v>1375</v>
      </c>
      <c r="B13" s="314" t="s">
        <v>42</v>
      </c>
      <c r="C13" s="313" t="s">
        <v>1351</v>
      </c>
      <c r="D13" s="315" t="s">
        <v>1352</v>
      </c>
      <c r="E13" s="315"/>
      <c r="F13" s="315" t="s">
        <v>26</v>
      </c>
      <c r="G13" s="13">
        <v>57</v>
      </c>
      <c r="H13" s="13">
        <v>57</v>
      </c>
      <c r="I13" s="6"/>
    </row>
    <row r="14" spans="1:9" ht="16.5" customHeight="1">
      <c r="A14" s="332" t="s">
        <v>1375</v>
      </c>
      <c r="B14" s="365" t="s">
        <v>1353</v>
      </c>
      <c r="C14" s="363" t="s">
        <v>11</v>
      </c>
      <c r="D14" s="2" t="s">
        <v>20</v>
      </c>
      <c r="E14" s="2" t="s">
        <v>21</v>
      </c>
      <c r="F14" s="2" t="s">
        <v>26</v>
      </c>
      <c r="G14" s="316">
        <v>13270</v>
      </c>
      <c r="H14" s="327">
        <f>4.1868*H15</f>
        <v>52159.154399999999</v>
      </c>
    </row>
    <row r="15" spans="1:9" ht="16.5" customHeight="1">
      <c r="A15" s="332" t="s">
        <v>1375</v>
      </c>
      <c r="B15" s="365"/>
      <c r="C15" s="363"/>
      <c r="D15" s="2" t="s">
        <v>20</v>
      </c>
      <c r="E15" s="2" t="s">
        <v>24</v>
      </c>
      <c r="F15" s="2" t="s">
        <v>47</v>
      </c>
      <c r="G15" s="326">
        <v>2860</v>
      </c>
      <c r="H15" s="12">
        <v>12458</v>
      </c>
    </row>
    <row r="16" spans="1:9" ht="16.5" customHeight="1">
      <c r="A16" s="332" t="s">
        <v>1375</v>
      </c>
      <c r="B16" s="7" t="s">
        <v>1354</v>
      </c>
      <c r="C16" s="3" t="s">
        <v>27</v>
      </c>
      <c r="D16" s="2" t="s">
        <v>20</v>
      </c>
      <c r="E16" s="2" t="s">
        <v>21</v>
      </c>
      <c r="F16" s="3" t="s">
        <v>22</v>
      </c>
      <c r="G16" s="11">
        <f>339*G4+1030*G5-109*(G6-G8)-25*G10</f>
        <v>13498.949999999999</v>
      </c>
      <c r="H16" s="11">
        <f>339*H4+1030*H5-109*(H6-H8)-25*H10</f>
        <v>25769.46</v>
      </c>
    </row>
    <row r="17" spans="1:11" ht="16.5" customHeight="1">
      <c r="A17" s="332" t="s">
        <v>1375</v>
      </c>
      <c r="B17" s="7" t="s">
        <v>1355</v>
      </c>
      <c r="C17" s="9" t="s">
        <v>28</v>
      </c>
      <c r="D17" s="4" t="s">
        <v>29</v>
      </c>
      <c r="E17" s="2" t="s">
        <v>21</v>
      </c>
      <c r="F17" s="3" t="s">
        <v>48</v>
      </c>
      <c r="G17" s="14">
        <f>339*G4+1256*G5-109*(G6-G8)</f>
        <v>14752.029999999999</v>
      </c>
      <c r="H17" s="14">
        <f>339*H4+1256*H5-109*(H6-H8)</f>
        <v>26919.040000000001</v>
      </c>
    </row>
    <row r="18" spans="1:11" ht="16.5" customHeight="1">
      <c r="B18" s="8" t="s">
        <v>44</v>
      </c>
      <c r="C18" s="8" t="s">
        <v>97</v>
      </c>
      <c r="D18" s="5"/>
      <c r="E18" s="5"/>
      <c r="F18" s="5"/>
      <c r="G18" s="10"/>
      <c r="H18" s="10"/>
    </row>
    <row r="19" spans="1:11" s="1" customFormat="1" ht="16.5" customHeight="1">
      <c r="A19" s="329" t="s">
        <v>1376</v>
      </c>
      <c r="B19" s="7" t="s">
        <v>33</v>
      </c>
      <c r="C19" s="9" t="s">
        <v>49</v>
      </c>
      <c r="D19" s="4" t="s">
        <v>50</v>
      </c>
      <c r="E19" s="4" t="s">
        <v>51</v>
      </c>
      <c r="F19" s="4" t="s">
        <v>53</v>
      </c>
      <c r="G19" s="12">
        <v>130</v>
      </c>
      <c r="H19" s="12">
        <v>320</v>
      </c>
    </row>
    <row r="20" spans="1:11" ht="16.5" customHeight="1">
      <c r="A20" s="329" t="s">
        <v>1376</v>
      </c>
      <c r="B20" s="7" t="s">
        <v>34</v>
      </c>
      <c r="C20" s="9" t="s">
        <v>64</v>
      </c>
      <c r="D20" s="4" t="s">
        <v>65</v>
      </c>
      <c r="E20" s="4" t="s">
        <v>66</v>
      </c>
      <c r="F20" s="4" t="s">
        <v>53</v>
      </c>
      <c r="G20" s="12">
        <v>9.8000000000000007</v>
      </c>
      <c r="H20" s="12">
        <v>10.6</v>
      </c>
    </row>
    <row r="21" spans="1:11" ht="16.5" customHeight="1">
      <c r="A21" s="329" t="s">
        <v>1376</v>
      </c>
      <c r="B21" s="7" t="s">
        <v>35</v>
      </c>
      <c r="C21" s="9" t="s">
        <v>67</v>
      </c>
      <c r="D21" s="4" t="s">
        <v>68</v>
      </c>
      <c r="E21" s="4" t="s">
        <v>69</v>
      </c>
      <c r="F21" s="4" t="s">
        <v>53</v>
      </c>
      <c r="G21" s="12">
        <v>540</v>
      </c>
      <c r="H21" s="12">
        <v>540</v>
      </c>
    </row>
    <row r="22" spans="1:11" ht="16.5" customHeight="1">
      <c r="A22" s="334" t="s">
        <v>1378</v>
      </c>
      <c r="B22" s="7" t="s">
        <v>36</v>
      </c>
      <c r="C22" s="9" t="s">
        <v>74</v>
      </c>
      <c r="D22" s="4" t="s">
        <v>76</v>
      </c>
      <c r="E22" s="4" t="s">
        <v>77</v>
      </c>
      <c r="F22" s="4" t="s">
        <v>78</v>
      </c>
      <c r="G22" s="11">
        <f>_xll.H_PT(锅炉计算!$G$20,锅炉计算!$G$21)</f>
        <v>3478.9507566574916</v>
      </c>
      <c r="H22" s="308">
        <f>_xll.H_PT(锅炉计算!$G$20,锅炉计算!$G$21)</f>
        <v>3478.9507566574916</v>
      </c>
    </row>
    <row r="23" spans="1:11" ht="16.5" customHeight="1">
      <c r="A23" s="330" t="s">
        <v>1374</v>
      </c>
      <c r="B23" s="7" t="s">
        <v>37</v>
      </c>
      <c r="C23" s="9" t="s">
        <v>70</v>
      </c>
      <c r="D23" s="4" t="s">
        <v>50</v>
      </c>
      <c r="E23" s="4" t="s">
        <v>66</v>
      </c>
      <c r="F23" s="4" t="s">
        <v>81</v>
      </c>
      <c r="G23" s="11">
        <f>G20*1.1</f>
        <v>10.780000000000001</v>
      </c>
      <c r="H23" s="308">
        <f>H20*1.1</f>
        <v>11.66</v>
      </c>
    </row>
    <row r="24" spans="1:11" ht="16.5" customHeight="1">
      <c r="A24" s="334" t="s">
        <v>1378</v>
      </c>
      <c r="B24" s="7" t="s">
        <v>38</v>
      </c>
      <c r="C24" s="9" t="s">
        <v>1284</v>
      </c>
      <c r="D24" s="4" t="s">
        <v>79</v>
      </c>
      <c r="E24" s="4" t="s">
        <v>77</v>
      </c>
      <c r="F24" s="4" t="s">
        <v>78</v>
      </c>
      <c r="G24" s="11">
        <f>_xll.HL_P(锅炉计算!$G$23)</f>
        <v>1441.0790270445434</v>
      </c>
      <c r="H24" s="308">
        <f>_xll.HL_P(锅炉计算!$G$23)</f>
        <v>1441.0790270445434</v>
      </c>
    </row>
    <row r="25" spans="1:11" ht="16.5" customHeight="1">
      <c r="A25" s="329" t="s">
        <v>1407</v>
      </c>
      <c r="B25" s="7" t="s">
        <v>39</v>
      </c>
      <c r="C25" s="9" t="s">
        <v>71</v>
      </c>
      <c r="D25" s="4" t="s">
        <v>82</v>
      </c>
      <c r="E25" s="4" t="s">
        <v>69</v>
      </c>
      <c r="F25" s="4" t="s">
        <v>1373</v>
      </c>
      <c r="G25" s="12">
        <v>150</v>
      </c>
      <c r="H25" s="12">
        <v>215</v>
      </c>
    </row>
    <row r="26" spans="1:11" ht="16.5" customHeight="1">
      <c r="A26" s="334" t="s">
        <v>1378</v>
      </c>
      <c r="B26" s="7" t="s">
        <v>40</v>
      </c>
      <c r="C26" s="9" t="s">
        <v>89</v>
      </c>
      <c r="D26" s="4" t="s">
        <v>90</v>
      </c>
      <c r="E26" s="4" t="s">
        <v>77</v>
      </c>
      <c r="F26" s="4" t="s">
        <v>78</v>
      </c>
      <c r="G26" s="11">
        <f>_xll.H_PT(锅炉计算!$G$23,锅炉计算!$G$25)</f>
        <v>638.67417590817729</v>
      </c>
      <c r="H26" s="308">
        <f>_xll.H_PT(锅炉计算!$G$23,锅炉计算!$G$25)</f>
        <v>638.67417590817729</v>
      </c>
    </row>
    <row r="27" spans="1:11" ht="16.5" customHeight="1">
      <c r="A27" s="329" t="s">
        <v>1408</v>
      </c>
      <c r="B27" s="7" t="s">
        <v>41</v>
      </c>
      <c r="C27" s="9" t="s">
        <v>72</v>
      </c>
      <c r="D27" s="4" t="s">
        <v>83</v>
      </c>
      <c r="E27" s="4" t="s">
        <v>84</v>
      </c>
      <c r="F27" s="4" t="s">
        <v>756</v>
      </c>
      <c r="G27" s="20">
        <v>0.89300000000000002</v>
      </c>
      <c r="H27" s="20">
        <v>0.89300000000000002</v>
      </c>
    </row>
    <row r="28" spans="1:11" ht="16.5" customHeight="1">
      <c r="A28" s="329" t="s">
        <v>1377</v>
      </c>
      <c r="B28" s="7" t="s">
        <v>42</v>
      </c>
      <c r="C28" s="9" t="s">
        <v>73</v>
      </c>
      <c r="D28" s="4" t="s">
        <v>85</v>
      </c>
      <c r="E28" s="4" t="s">
        <v>84</v>
      </c>
      <c r="F28" s="4" t="s">
        <v>100</v>
      </c>
      <c r="G28" s="13">
        <v>0.03</v>
      </c>
      <c r="H28" s="13">
        <v>0.03</v>
      </c>
    </row>
    <row r="29" spans="1:11" ht="16.5" customHeight="1">
      <c r="A29" s="329" t="s">
        <v>1377</v>
      </c>
      <c r="B29" s="7" t="s">
        <v>43</v>
      </c>
      <c r="C29" s="9" t="s">
        <v>75</v>
      </c>
      <c r="D29" s="4" t="s">
        <v>91</v>
      </c>
      <c r="E29" s="4" t="s">
        <v>84</v>
      </c>
      <c r="F29" s="4" t="s">
        <v>80</v>
      </c>
      <c r="G29" s="13">
        <v>0.02</v>
      </c>
      <c r="H29" s="13">
        <v>0.02</v>
      </c>
      <c r="J29">
        <v>22</v>
      </c>
      <c r="K29">
        <v>7260</v>
      </c>
    </row>
    <row r="30" spans="1:11" ht="16.5" customHeight="1">
      <c r="A30" s="330" t="s">
        <v>1374</v>
      </c>
      <c r="B30" s="7" t="s">
        <v>54</v>
      </c>
      <c r="C30" s="353" t="s">
        <v>86</v>
      </c>
      <c r="D30" s="4" t="s">
        <v>87</v>
      </c>
      <c r="E30" s="4" t="s">
        <v>88</v>
      </c>
      <c r="F30" s="4" t="s">
        <v>92</v>
      </c>
      <c r="G30" s="19">
        <f>G19*1000/G27*((G22-G26)+G29*(G24-G26))/G14</f>
        <v>31334.916562830669</v>
      </c>
      <c r="H30" s="19">
        <f>H19*1000/H27*((H22-H26)+H29*(H24-H26))/H14</f>
        <v>19623.458420826664</v>
      </c>
      <c r="I30" s="351" t="s">
        <v>96</v>
      </c>
      <c r="J30">
        <f>G30*J29/1000</f>
        <v>689.3681643822747</v>
      </c>
      <c r="K30">
        <f>G30*K29/1000/10000</f>
        <v>22.749149424615066</v>
      </c>
    </row>
    <row r="31" spans="1:11" ht="16.5" customHeight="1">
      <c r="A31" s="330" t="s">
        <v>1374</v>
      </c>
      <c r="B31" s="7" t="s">
        <v>55</v>
      </c>
      <c r="C31" s="353" t="s">
        <v>93</v>
      </c>
      <c r="D31" s="4" t="s">
        <v>94</v>
      </c>
      <c r="E31" s="4" t="s">
        <v>88</v>
      </c>
      <c r="F31" s="4" t="s">
        <v>95</v>
      </c>
      <c r="G31" s="19">
        <f>G30*(1-G28)</f>
        <v>30394.86906594575</v>
      </c>
      <c r="H31" s="19">
        <f>H30*(1-H28)</f>
        <v>19034.754668201866</v>
      </c>
      <c r="I31" s="351" t="s">
        <v>1409</v>
      </c>
    </row>
    <row r="32" spans="1:11" ht="16.5" customHeight="1">
      <c r="B32" s="8" t="s">
        <v>98</v>
      </c>
      <c r="C32" s="8" t="s">
        <v>99</v>
      </c>
      <c r="D32" s="5"/>
      <c r="E32" s="5"/>
      <c r="F32" s="5"/>
      <c r="G32" s="10"/>
      <c r="H32" s="10"/>
    </row>
    <row r="33" spans="1:11" ht="16.5" customHeight="1">
      <c r="A33" s="330" t="s">
        <v>1374</v>
      </c>
      <c r="B33" s="7" t="s">
        <v>102</v>
      </c>
      <c r="C33" s="353" t="s">
        <v>101</v>
      </c>
      <c r="D33" s="4" t="s">
        <v>103</v>
      </c>
      <c r="E33" s="4" t="s">
        <v>88</v>
      </c>
      <c r="F33" s="4" t="s">
        <v>115</v>
      </c>
      <c r="G33" s="11">
        <f>G30*(G9/100+G14*G28/3387000)</f>
        <v>6399.1395027393619</v>
      </c>
      <c r="H33" s="308">
        <f>H30*(H9/100+H14*H28/3387000)</f>
        <v>1659.3987787684391</v>
      </c>
      <c r="J33">
        <f>G33*J36/1000</f>
        <v>140.78106906026596</v>
      </c>
      <c r="K33">
        <f>G33*K36/10000/1000</f>
        <v>4.6457752789887774</v>
      </c>
    </row>
    <row r="34" spans="1:11" ht="16.5" customHeight="1">
      <c r="A34" s="329" t="s">
        <v>1376</v>
      </c>
      <c r="B34" s="21" t="s">
        <v>34</v>
      </c>
      <c r="C34" s="126" t="s">
        <v>741</v>
      </c>
      <c r="D34" s="149" t="s">
        <v>740</v>
      </c>
      <c r="E34" s="150" t="s">
        <v>385</v>
      </c>
      <c r="F34" s="152" t="s">
        <v>742</v>
      </c>
      <c r="G34" s="151">
        <f>脱硫脱硝!F36</f>
        <v>106.66959864737566</v>
      </c>
      <c r="H34" s="151" t="str">
        <f>脱硫脱硝!G36</f>
        <v>输出</v>
      </c>
    </row>
    <row r="35" spans="1:11" ht="16.5" customHeight="1">
      <c r="A35" s="329" t="s">
        <v>1377</v>
      </c>
      <c r="B35" s="21" t="s">
        <v>35</v>
      </c>
      <c r="C35" s="9" t="s">
        <v>104</v>
      </c>
      <c r="D35" s="4" t="s">
        <v>105</v>
      </c>
      <c r="E35" s="4"/>
      <c r="F35" s="4" t="s">
        <v>1300</v>
      </c>
      <c r="G35" s="13">
        <v>0.6</v>
      </c>
      <c r="H35" s="13">
        <v>0.9</v>
      </c>
    </row>
    <row r="36" spans="1:11" ht="16.5" customHeight="1">
      <c r="A36" s="330" t="s">
        <v>1374</v>
      </c>
      <c r="B36" s="21" t="s">
        <v>36</v>
      </c>
      <c r="C36" s="9" t="s">
        <v>106</v>
      </c>
      <c r="D36" s="4" t="s">
        <v>107</v>
      </c>
      <c r="E36" s="4"/>
      <c r="F36" s="4" t="s">
        <v>108</v>
      </c>
      <c r="G36" s="13">
        <f>1-G35</f>
        <v>0.4</v>
      </c>
      <c r="H36" s="13">
        <f>1-H35</f>
        <v>9.9999999999999978E-2</v>
      </c>
      <c r="J36">
        <v>22</v>
      </c>
      <c r="K36">
        <v>7260</v>
      </c>
    </row>
    <row r="37" spans="1:11" ht="16.5" customHeight="1">
      <c r="A37" s="330" t="s">
        <v>1374</v>
      </c>
      <c r="B37" s="21" t="s">
        <v>37</v>
      </c>
      <c r="C37" s="353" t="s">
        <v>109</v>
      </c>
      <c r="D37" s="4" t="s">
        <v>111</v>
      </c>
      <c r="E37" s="4" t="s">
        <v>51</v>
      </c>
      <c r="F37" s="4" t="s">
        <v>113</v>
      </c>
      <c r="G37" s="19">
        <f>(G33+G34)*G35/1000</f>
        <v>3.9034854608320426</v>
      </c>
      <c r="H37" s="19" t="e">
        <f>(H33+H34)*H35/1000</f>
        <v>#VALUE!</v>
      </c>
      <c r="J37">
        <f>G37*J36</f>
        <v>85.876680138304934</v>
      </c>
      <c r="K37">
        <f>G37*K36/10000</f>
        <v>2.833930444564063</v>
      </c>
    </row>
    <row r="38" spans="1:11" ht="16.5" customHeight="1">
      <c r="A38" s="330" t="s">
        <v>1374</v>
      </c>
      <c r="B38" s="21" t="s">
        <v>38</v>
      </c>
      <c r="C38" s="353" t="s">
        <v>110</v>
      </c>
      <c r="D38" s="4" t="s">
        <v>112</v>
      </c>
      <c r="E38" s="4" t="s">
        <v>51</v>
      </c>
      <c r="F38" s="4" t="s">
        <v>114</v>
      </c>
      <c r="G38" s="19">
        <f>(G33+G34)*G36/1000</f>
        <v>2.6023236405546952</v>
      </c>
      <c r="H38" s="19" t="e">
        <f>(H33+H34)*H36/1000</f>
        <v>#VALUE!</v>
      </c>
      <c r="J38">
        <f>G38*J36</f>
        <v>57.251120092203294</v>
      </c>
      <c r="K38">
        <f>G38*K36/10000</f>
        <v>1.8892869630427089</v>
      </c>
    </row>
    <row r="39" spans="1:11" ht="16.5" customHeight="1">
      <c r="B39" s="8" t="s">
        <v>116</v>
      </c>
      <c r="C39" s="8" t="s">
        <v>318</v>
      </c>
      <c r="D39" s="4"/>
      <c r="E39" s="4"/>
      <c r="F39" s="4"/>
      <c r="G39" s="11"/>
      <c r="H39" s="11"/>
    </row>
    <row r="40" spans="1:11" ht="16.5" customHeight="1">
      <c r="A40" s="333" t="s">
        <v>1374</v>
      </c>
      <c r="B40" s="7" t="s">
        <v>33</v>
      </c>
      <c r="C40" s="9" t="s">
        <v>129</v>
      </c>
      <c r="D40" s="15" t="s">
        <v>128</v>
      </c>
      <c r="E40" s="16" t="s">
        <v>117</v>
      </c>
      <c r="F40" s="4" t="s">
        <v>118</v>
      </c>
      <c r="G40" s="11">
        <f>0.0889*G4+0.265*G5-0.0333*(G6-G8)</f>
        <v>3.6489410000000002</v>
      </c>
      <c r="H40" s="308">
        <f>0.0889*H4+0.265*H5-0.0333*(H6-H8)</f>
        <v>6.7657120000000006</v>
      </c>
    </row>
    <row r="41" spans="1:11" ht="16.5" customHeight="1">
      <c r="A41" s="332" t="s">
        <v>1375</v>
      </c>
      <c r="B41" s="240" t="s">
        <v>34</v>
      </c>
      <c r="C41" s="9" t="s">
        <v>1205</v>
      </c>
      <c r="D41" s="15" t="s">
        <v>1206</v>
      </c>
      <c r="E41" s="242" t="s">
        <v>296</v>
      </c>
      <c r="F41" s="242" t="s">
        <v>292</v>
      </c>
      <c r="G41" s="12">
        <v>24.9</v>
      </c>
      <c r="H41" s="12">
        <v>24.9</v>
      </c>
    </row>
    <row r="42" spans="1:11" ht="16.5" customHeight="1">
      <c r="A42" s="332" t="s">
        <v>1375</v>
      </c>
      <c r="B42" s="240" t="s">
        <v>35</v>
      </c>
      <c r="C42" s="32" t="s">
        <v>309</v>
      </c>
      <c r="D42" s="40" t="s">
        <v>290</v>
      </c>
      <c r="E42" s="40" t="s">
        <v>291</v>
      </c>
      <c r="F42" s="40" t="s">
        <v>292</v>
      </c>
      <c r="G42" s="12">
        <v>50.9</v>
      </c>
      <c r="H42" s="12">
        <v>50.9</v>
      </c>
    </row>
    <row r="43" spans="1:11" ht="16.5" customHeight="1">
      <c r="A43" s="332" t="s">
        <v>1375</v>
      </c>
      <c r="B43" s="240" t="s">
        <v>36</v>
      </c>
      <c r="C43" s="32" t="s">
        <v>310</v>
      </c>
      <c r="D43" s="40" t="s">
        <v>293</v>
      </c>
      <c r="E43" s="40" t="s">
        <v>294</v>
      </c>
      <c r="F43" s="40" t="s">
        <v>292</v>
      </c>
      <c r="G43" s="12">
        <v>86.754999999999995</v>
      </c>
      <c r="H43" s="12">
        <v>86.754999999999995</v>
      </c>
    </row>
    <row r="44" spans="1:11" ht="16.5" customHeight="1">
      <c r="A44" s="332" t="s">
        <v>1375</v>
      </c>
      <c r="B44" s="240" t="s">
        <v>37</v>
      </c>
      <c r="C44" s="32" t="s">
        <v>311</v>
      </c>
      <c r="D44" s="40" t="s">
        <v>295</v>
      </c>
      <c r="E44" s="40" t="s">
        <v>296</v>
      </c>
      <c r="F44" s="40" t="s">
        <v>292</v>
      </c>
      <c r="G44" s="12">
        <v>9.58</v>
      </c>
      <c r="H44" s="12">
        <v>9.58</v>
      </c>
    </row>
    <row r="45" spans="1:11" ht="16.5" customHeight="1">
      <c r="A45" s="334" t="s">
        <v>1378</v>
      </c>
      <c r="B45" s="240" t="s">
        <v>38</v>
      </c>
      <c r="C45" s="32" t="s">
        <v>312</v>
      </c>
      <c r="D45" s="40" t="s">
        <v>297</v>
      </c>
      <c r="E45" s="40" t="s">
        <v>294</v>
      </c>
      <c r="F45" s="40" t="s">
        <v>298</v>
      </c>
      <c r="G45" s="41">
        <f>1000*_xll.P_T(锅炉计算!$G$44)</f>
        <v>1.194045200574458</v>
      </c>
      <c r="H45" s="41">
        <f>1000*_xll.P_T(锅炉计算!$G$44)</f>
        <v>1.194045200574458</v>
      </c>
    </row>
    <row r="46" spans="1:11" ht="16.5" customHeight="1">
      <c r="A46" s="330" t="s">
        <v>1374</v>
      </c>
      <c r="B46" s="240" t="s">
        <v>39</v>
      </c>
      <c r="C46" s="32" t="s">
        <v>313</v>
      </c>
      <c r="D46" s="40" t="s">
        <v>299</v>
      </c>
      <c r="E46" s="40" t="s">
        <v>294</v>
      </c>
      <c r="F46" s="40" t="s">
        <v>300</v>
      </c>
      <c r="G46" s="42">
        <f>G42*G45/100</f>
        <v>0.60776900709239912</v>
      </c>
      <c r="H46" s="44">
        <f>H42*H45/100</f>
        <v>0.60776900709239912</v>
      </c>
    </row>
    <row r="47" spans="1:11" ht="16.5" customHeight="1">
      <c r="A47" s="330" t="s">
        <v>1374</v>
      </c>
      <c r="B47" s="240" t="s">
        <v>40</v>
      </c>
      <c r="C47" s="32" t="s">
        <v>314</v>
      </c>
      <c r="D47" s="40" t="s">
        <v>301</v>
      </c>
      <c r="E47" s="40" t="s">
        <v>317</v>
      </c>
      <c r="F47" s="40" t="s">
        <v>302</v>
      </c>
      <c r="G47" s="42">
        <f>622*G46/(G43-G46)</f>
        <v>4.38821211145597</v>
      </c>
      <c r="H47" s="44">
        <f>622*H46/(H43-H46)</f>
        <v>4.38821211145597</v>
      </c>
    </row>
    <row r="48" spans="1:11" ht="16.5" customHeight="1">
      <c r="A48" s="330" t="s">
        <v>1374</v>
      </c>
      <c r="B48" s="240" t="s">
        <v>41</v>
      </c>
      <c r="C48" s="32" t="s">
        <v>315</v>
      </c>
      <c r="D48" s="40" t="s">
        <v>303</v>
      </c>
      <c r="E48" s="40" t="s">
        <v>304</v>
      </c>
      <c r="F48" s="40" t="s">
        <v>305</v>
      </c>
      <c r="G48" s="42">
        <f>(1+0.001*G47)/(1/1.293+0.001*G47/0.804)</f>
        <v>1.2895732310383834</v>
      </c>
      <c r="H48" s="44">
        <f>(1+0.001*H47)/(1/1.293+0.001*H47/0.804)</f>
        <v>1.2895732310383834</v>
      </c>
    </row>
    <row r="49" spans="1:9" ht="16.5" customHeight="1">
      <c r="A49" s="330" t="s">
        <v>1374</v>
      </c>
      <c r="B49" s="240" t="s">
        <v>42</v>
      </c>
      <c r="C49" s="355" t="s">
        <v>316</v>
      </c>
      <c r="D49" s="40" t="s">
        <v>306</v>
      </c>
      <c r="E49" s="40" t="s">
        <v>307</v>
      </c>
      <c r="F49" s="40" t="s">
        <v>308</v>
      </c>
      <c r="G49" s="42">
        <f>G40*(1+0.0016*G47)</f>
        <v>3.6745607233443014</v>
      </c>
      <c r="H49" s="44">
        <f>H40*(1+0.0016*H47)</f>
        <v>6.8132150069456374</v>
      </c>
      <c r="I49" s="352" t="s">
        <v>1410</v>
      </c>
    </row>
    <row r="50" spans="1:9" ht="16.5" customHeight="1">
      <c r="B50" s="8" t="s">
        <v>319</v>
      </c>
      <c r="C50" s="8" t="s">
        <v>320</v>
      </c>
      <c r="D50" s="8"/>
      <c r="E50" s="8"/>
      <c r="F50" s="8"/>
      <c r="G50" s="8"/>
    </row>
    <row r="51" spans="1:9" ht="16.5" customHeight="1">
      <c r="A51" s="330" t="s">
        <v>1374</v>
      </c>
      <c r="B51" s="21" t="s">
        <v>33</v>
      </c>
      <c r="C51" s="9" t="s">
        <v>130</v>
      </c>
      <c r="D51" s="17" t="s">
        <v>131</v>
      </c>
      <c r="E51" s="17" t="s">
        <v>117</v>
      </c>
      <c r="F51" s="17" t="s">
        <v>137</v>
      </c>
      <c r="G51" s="23">
        <f>0.79*G40+0.008*G7</f>
        <v>2.8855433900000005</v>
      </c>
      <c r="H51" s="308">
        <f>0.79*H40+0.008*H7</f>
        <v>5.3517124800000007</v>
      </c>
    </row>
    <row r="52" spans="1:9" ht="16.5" customHeight="1">
      <c r="A52" s="330" t="s">
        <v>1374</v>
      </c>
      <c r="B52" s="21" t="s">
        <v>34</v>
      </c>
      <c r="C52" s="9" t="s">
        <v>132</v>
      </c>
      <c r="D52" s="17" t="s">
        <v>134</v>
      </c>
      <c r="E52" s="17" t="s">
        <v>117</v>
      </c>
      <c r="F52" s="17" t="s">
        <v>321</v>
      </c>
      <c r="G52" s="23">
        <f>1.866*(G4+0.375*G8)/100</f>
        <v>0.70488150000000005</v>
      </c>
      <c r="H52" s="308">
        <f>1.866*(H4+0.375*H8)/100</f>
        <v>1.2551182500000002</v>
      </c>
    </row>
    <row r="53" spans="1:9" ht="16.5" customHeight="1">
      <c r="A53" s="330" t="s">
        <v>1374</v>
      </c>
      <c r="B53" s="21" t="s">
        <v>35</v>
      </c>
      <c r="C53" s="9" t="s">
        <v>133</v>
      </c>
      <c r="D53" s="17" t="s">
        <v>135</v>
      </c>
      <c r="E53" s="17" t="s">
        <v>117</v>
      </c>
      <c r="F53" s="17" t="s">
        <v>138</v>
      </c>
      <c r="G53" s="23">
        <f>0.111*G5+0.0124*G10+1.293*G47*G40/0.804/1000</f>
        <v>0.64445116782041467</v>
      </c>
      <c r="H53" s="308">
        <f>0.111*H5+0.0124*H10+1.293*H47*H40/0.804/1000</f>
        <v>0.61346672573127203</v>
      </c>
    </row>
    <row r="54" spans="1:9" ht="16.5" customHeight="1">
      <c r="A54" s="330" t="s">
        <v>1374</v>
      </c>
      <c r="B54" s="21" t="s">
        <v>36</v>
      </c>
      <c r="C54" s="353" t="s">
        <v>140</v>
      </c>
      <c r="D54" s="17" t="s">
        <v>136</v>
      </c>
      <c r="E54" s="17" t="s">
        <v>117</v>
      </c>
      <c r="F54" s="17" t="s">
        <v>139</v>
      </c>
      <c r="G54" s="23">
        <f>G53+G52+G51</f>
        <v>4.234876057820415</v>
      </c>
      <c r="H54" s="308">
        <f>H53+H52+H51</f>
        <v>7.2202974557312727</v>
      </c>
    </row>
    <row r="55" spans="1:9" ht="16.5" customHeight="1">
      <c r="A55" s="330" t="s">
        <v>1374</v>
      </c>
      <c r="B55" s="21" t="s">
        <v>37</v>
      </c>
      <c r="C55" s="9" t="s">
        <v>328</v>
      </c>
      <c r="D55" s="43" t="s">
        <v>322</v>
      </c>
      <c r="E55" s="43" t="s">
        <v>323</v>
      </c>
      <c r="F55" s="43" t="s">
        <v>324</v>
      </c>
      <c r="G55" s="44">
        <f>1-G9/100+(1+G47/1000)*1.293*G40</f>
        <v>5.5346846519276145</v>
      </c>
      <c r="H55" s="44">
        <f>1-H9/100+(1+H47/1000)*1.293*H40</f>
        <v>9.702353983487944</v>
      </c>
      <c r="I55" s="352" t="s">
        <v>1410</v>
      </c>
    </row>
    <row r="56" spans="1:9" ht="16.5" customHeight="1">
      <c r="A56" s="330" t="s">
        <v>1374</v>
      </c>
      <c r="B56" s="21" t="s">
        <v>38</v>
      </c>
      <c r="C56" s="9" t="s">
        <v>329</v>
      </c>
      <c r="D56" s="43" t="s">
        <v>325</v>
      </c>
      <c r="E56" s="43" t="s">
        <v>326</v>
      </c>
      <c r="F56" s="43" t="s">
        <v>327</v>
      </c>
      <c r="G56" s="44">
        <f>G55/G54</f>
        <v>1.3069295479632475</v>
      </c>
      <c r="H56" s="44">
        <f>H55/H54</f>
        <v>1.3437609797898955</v>
      </c>
    </row>
    <row r="57" spans="1:9" ht="16.5" customHeight="1">
      <c r="B57" s="8" t="s">
        <v>330</v>
      </c>
      <c r="C57" s="8" t="s">
        <v>331</v>
      </c>
      <c r="D57" s="8"/>
      <c r="E57" s="8"/>
      <c r="F57" s="8"/>
      <c r="G57" s="8"/>
    </row>
    <row r="58" spans="1:9" ht="16.5" customHeight="1">
      <c r="A58" s="329" t="s">
        <v>1376</v>
      </c>
      <c r="B58" s="21" t="s">
        <v>33</v>
      </c>
      <c r="C58" s="9" t="s">
        <v>391</v>
      </c>
      <c r="D58" s="46" t="s">
        <v>332</v>
      </c>
      <c r="E58" s="46"/>
      <c r="F58" s="47" t="s">
        <v>52</v>
      </c>
      <c r="G58" s="54">
        <v>1.2</v>
      </c>
      <c r="H58" s="54">
        <v>1.2</v>
      </c>
    </row>
    <row r="59" spans="1:9" ht="16.5" customHeight="1">
      <c r="A59" s="329" t="s">
        <v>1376</v>
      </c>
      <c r="B59" s="21" t="s">
        <v>34</v>
      </c>
      <c r="C59" s="9" t="s">
        <v>572</v>
      </c>
      <c r="D59" s="46" t="s">
        <v>333</v>
      </c>
      <c r="E59" s="46"/>
      <c r="F59" s="47" t="s">
        <v>52</v>
      </c>
      <c r="G59" s="54">
        <v>0.05</v>
      </c>
      <c r="H59" s="54">
        <v>0.05</v>
      </c>
    </row>
    <row r="60" spans="1:9" ht="16.5" customHeight="1">
      <c r="A60" s="330" t="s">
        <v>1374</v>
      </c>
      <c r="B60" s="21" t="s">
        <v>35</v>
      </c>
      <c r="C60" s="9" t="s">
        <v>365</v>
      </c>
      <c r="D60" s="46" t="s">
        <v>334</v>
      </c>
      <c r="E60" s="46"/>
      <c r="F60" s="50"/>
      <c r="G60" s="53">
        <f>G58+G59</f>
        <v>1.25</v>
      </c>
      <c r="H60" s="53">
        <f>H58+H59</f>
        <v>1.25</v>
      </c>
    </row>
    <row r="61" spans="1:9" ht="16.5" customHeight="1">
      <c r="A61" s="329" t="s">
        <v>1376</v>
      </c>
      <c r="B61" s="21" t="s">
        <v>36</v>
      </c>
      <c r="C61" s="9" t="s">
        <v>573</v>
      </c>
      <c r="D61" s="46" t="s">
        <v>335</v>
      </c>
      <c r="E61" s="46"/>
      <c r="F61" s="47" t="s">
        <v>52</v>
      </c>
      <c r="G61" s="54">
        <v>0.05</v>
      </c>
      <c r="H61" s="54">
        <v>0.05</v>
      </c>
    </row>
    <row r="62" spans="1:9" ht="16.5" customHeight="1">
      <c r="A62" s="330" t="s">
        <v>1374</v>
      </c>
      <c r="B62" s="21" t="s">
        <v>37</v>
      </c>
      <c r="C62" s="9" t="s">
        <v>574</v>
      </c>
      <c r="D62" s="46" t="s">
        <v>336</v>
      </c>
      <c r="E62" s="46"/>
      <c r="F62" s="47"/>
      <c r="G62" s="52">
        <f>G61+G60</f>
        <v>1.3</v>
      </c>
      <c r="H62" s="52">
        <f>H61+H60</f>
        <v>1.3</v>
      </c>
    </row>
    <row r="63" spans="1:9" ht="16.5" customHeight="1">
      <c r="A63" s="329" t="s">
        <v>1376</v>
      </c>
      <c r="B63" s="21" t="s">
        <v>38</v>
      </c>
      <c r="C63" s="9" t="s">
        <v>575</v>
      </c>
      <c r="D63" s="46" t="s">
        <v>337</v>
      </c>
      <c r="E63" s="46"/>
      <c r="F63" s="47" t="s">
        <v>52</v>
      </c>
      <c r="G63" s="54">
        <v>0</v>
      </c>
      <c r="H63" s="54">
        <v>0</v>
      </c>
    </row>
    <row r="64" spans="1:9" ht="16.5" customHeight="1">
      <c r="A64" s="330" t="s">
        <v>1374</v>
      </c>
      <c r="B64" s="21" t="s">
        <v>39</v>
      </c>
      <c r="C64" s="9" t="s">
        <v>576</v>
      </c>
      <c r="D64" s="46" t="s">
        <v>338</v>
      </c>
      <c r="E64" s="46"/>
      <c r="F64" s="47"/>
      <c r="G64" s="52">
        <f>G63+G62</f>
        <v>1.3</v>
      </c>
      <c r="H64" s="52">
        <f>H63+H62</f>
        <v>1.3</v>
      </c>
    </row>
    <row r="65" spans="1:9" ht="16.5" customHeight="1">
      <c r="A65" s="329" t="s">
        <v>1376</v>
      </c>
      <c r="B65" s="21" t="s">
        <v>40</v>
      </c>
      <c r="C65" s="9" t="s">
        <v>577</v>
      </c>
      <c r="D65" s="46" t="s">
        <v>339</v>
      </c>
      <c r="E65" s="46"/>
      <c r="F65" s="47" t="s">
        <v>52</v>
      </c>
      <c r="G65" s="54">
        <v>0.03</v>
      </c>
      <c r="H65" s="54">
        <v>0.03</v>
      </c>
    </row>
    <row r="66" spans="1:9" ht="16.5" customHeight="1">
      <c r="A66" s="330" t="s">
        <v>1374</v>
      </c>
      <c r="B66" s="21" t="s">
        <v>41</v>
      </c>
      <c r="C66" s="9" t="s">
        <v>578</v>
      </c>
      <c r="D66" s="46" t="s">
        <v>340</v>
      </c>
      <c r="E66" s="46"/>
      <c r="F66" s="47"/>
      <c r="G66" s="52">
        <f>G65+G64</f>
        <v>1.33</v>
      </c>
      <c r="H66" s="52">
        <f>H65+H64</f>
        <v>1.33</v>
      </c>
    </row>
    <row r="67" spans="1:9" ht="16.5" customHeight="1">
      <c r="A67" s="329" t="s">
        <v>1376</v>
      </c>
      <c r="B67" s="21" t="s">
        <v>42</v>
      </c>
      <c r="C67" s="9" t="s">
        <v>579</v>
      </c>
      <c r="D67" s="46" t="s">
        <v>341</v>
      </c>
      <c r="E67" s="46"/>
      <c r="F67" s="47" t="s">
        <v>52</v>
      </c>
      <c r="G67" s="54">
        <v>0.03</v>
      </c>
      <c r="H67" s="54">
        <v>0.03</v>
      </c>
    </row>
    <row r="68" spans="1:9" ht="16.5" customHeight="1">
      <c r="A68" s="330" t="s">
        <v>1374</v>
      </c>
      <c r="B68" s="21" t="s">
        <v>43</v>
      </c>
      <c r="C68" s="9" t="s">
        <v>580</v>
      </c>
      <c r="D68" s="46" t="s">
        <v>342</v>
      </c>
      <c r="E68" s="46"/>
      <c r="F68" s="47"/>
      <c r="G68" s="45">
        <f>G67+G66</f>
        <v>1.36</v>
      </c>
      <c r="H68" s="45">
        <f>H67+H66</f>
        <v>1.36</v>
      </c>
    </row>
    <row r="69" spans="1:9" ht="16.5" customHeight="1">
      <c r="A69" s="329" t="s">
        <v>1376</v>
      </c>
      <c r="B69" s="21" t="s">
        <v>54</v>
      </c>
      <c r="C69" s="9" t="s">
        <v>366</v>
      </c>
      <c r="D69" s="46" t="s">
        <v>343</v>
      </c>
      <c r="E69" s="46"/>
      <c r="F69" s="51" t="s">
        <v>344</v>
      </c>
      <c r="G69" s="54">
        <v>0.02</v>
      </c>
      <c r="H69" s="54">
        <v>0.02</v>
      </c>
    </row>
    <row r="70" spans="1:9" ht="16.5" customHeight="1">
      <c r="A70" s="330" t="s">
        <v>1374</v>
      </c>
      <c r="B70" s="21" t="s">
        <v>55</v>
      </c>
      <c r="C70" s="9" t="s">
        <v>581</v>
      </c>
      <c r="D70" s="46" t="s">
        <v>345</v>
      </c>
      <c r="E70" s="46"/>
      <c r="F70" s="49" t="s">
        <v>346</v>
      </c>
      <c r="G70" s="52">
        <f>G69+G68</f>
        <v>1.3800000000000001</v>
      </c>
      <c r="H70" s="52">
        <f>H69+H68</f>
        <v>1.3800000000000001</v>
      </c>
    </row>
    <row r="71" spans="1:9" ht="16.5" customHeight="1">
      <c r="A71" s="329" t="s">
        <v>1376</v>
      </c>
      <c r="B71" s="21" t="s">
        <v>56</v>
      </c>
      <c r="C71" s="9" t="s">
        <v>582</v>
      </c>
      <c r="D71" s="48" t="s">
        <v>347</v>
      </c>
      <c r="E71" s="46"/>
      <c r="F71" s="48" t="s">
        <v>125</v>
      </c>
      <c r="G71" s="54">
        <v>0.02</v>
      </c>
      <c r="H71" s="54">
        <v>0.02</v>
      </c>
    </row>
    <row r="72" spans="1:9" ht="16.5" customHeight="1">
      <c r="A72" s="330" t="s">
        <v>1374</v>
      </c>
      <c r="B72" s="21" t="s">
        <v>57</v>
      </c>
      <c r="C72" s="9" t="s">
        <v>583</v>
      </c>
      <c r="D72" s="46" t="s">
        <v>348</v>
      </c>
      <c r="E72" s="46"/>
      <c r="F72" s="49" t="s">
        <v>349</v>
      </c>
      <c r="G72" s="52">
        <f>G71+G70</f>
        <v>1.4000000000000001</v>
      </c>
      <c r="H72" s="52">
        <f>H71+H70</f>
        <v>1.4000000000000001</v>
      </c>
    </row>
    <row r="73" spans="1:9" ht="15" customHeight="1">
      <c r="A73" s="329" t="s">
        <v>1376</v>
      </c>
      <c r="B73" s="21" t="s">
        <v>58</v>
      </c>
      <c r="C73" s="9" t="s">
        <v>367</v>
      </c>
      <c r="D73" s="46" t="s">
        <v>350</v>
      </c>
      <c r="E73" s="46"/>
      <c r="F73" s="51" t="s">
        <v>344</v>
      </c>
      <c r="G73" s="54">
        <v>0.03</v>
      </c>
      <c r="H73" s="54">
        <v>0.03</v>
      </c>
    </row>
    <row r="74" spans="1:9" ht="16.5" customHeight="1">
      <c r="A74" s="330" t="s">
        <v>1374</v>
      </c>
      <c r="B74" s="21" t="s">
        <v>59</v>
      </c>
      <c r="C74" s="9" t="s">
        <v>584</v>
      </c>
      <c r="D74" s="46" t="s">
        <v>351</v>
      </c>
      <c r="E74" s="46"/>
      <c r="F74" s="46" t="s">
        <v>352</v>
      </c>
      <c r="G74" s="53">
        <f>G73+G72</f>
        <v>1.4300000000000002</v>
      </c>
      <c r="H74" s="53">
        <f>H73+H72</f>
        <v>1.4300000000000002</v>
      </c>
    </row>
    <row r="75" spans="1:9" ht="16.5" customHeight="1">
      <c r="A75" s="330" t="s">
        <v>1374</v>
      </c>
      <c r="B75" s="21" t="s">
        <v>60</v>
      </c>
      <c r="C75" s="9" t="s">
        <v>368</v>
      </c>
      <c r="D75" s="46" t="s">
        <v>353</v>
      </c>
      <c r="E75" s="46" t="s">
        <v>354</v>
      </c>
      <c r="F75" s="46" t="s">
        <v>355</v>
      </c>
      <c r="G75" s="53">
        <f>G54+(G68-1)*G40+0.0161*(G68-1)*G40</f>
        <v>5.569644079856416</v>
      </c>
      <c r="H75" s="53">
        <f>H54+(H68-1)*H40+0.0161*(H68-1)*H40</f>
        <v>9.6951678424832739</v>
      </c>
    </row>
    <row r="76" spans="1:9" ht="16.5" customHeight="1">
      <c r="A76" s="330" t="s">
        <v>1374</v>
      </c>
      <c r="B76" s="21" t="s">
        <v>61</v>
      </c>
      <c r="C76" s="9" t="s">
        <v>369</v>
      </c>
      <c r="D76" s="46" t="s">
        <v>356</v>
      </c>
      <c r="E76" s="46" t="s">
        <v>357</v>
      </c>
      <c r="F76" s="46" t="s">
        <v>376</v>
      </c>
      <c r="G76" s="52">
        <f>1-G9/100+(1+G47/1000)*1.293*G40*G68</f>
        <v>7.2406471266215551</v>
      </c>
      <c r="H76" s="52">
        <f>1-H9/100+(1+H47/1000)*1.293*H40*H68</f>
        <v>12.865477417543605</v>
      </c>
    </row>
    <row r="77" spans="1:9" ht="16.5" customHeight="1">
      <c r="A77" s="329" t="s">
        <v>1376</v>
      </c>
      <c r="B77" s="21" t="s">
        <v>62</v>
      </c>
      <c r="C77" s="9" t="s">
        <v>370</v>
      </c>
      <c r="D77" s="46"/>
      <c r="E77" s="46"/>
      <c r="F77" s="46"/>
      <c r="G77" s="54" t="s">
        <v>358</v>
      </c>
      <c r="H77" s="54" t="s">
        <v>358</v>
      </c>
    </row>
    <row r="78" spans="1:9" ht="16.5" customHeight="1">
      <c r="A78" s="329" t="s">
        <v>1376</v>
      </c>
      <c r="B78" s="21" t="s">
        <v>63</v>
      </c>
      <c r="C78" s="9" t="s">
        <v>372</v>
      </c>
      <c r="D78" s="46" t="s">
        <v>359</v>
      </c>
      <c r="E78" s="46" t="s">
        <v>296</v>
      </c>
      <c r="F78" s="48" t="s">
        <v>52</v>
      </c>
      <c r="G78" s="54">
        <v>20</v>
      </c>
      <c r="H78" s="54">
        <v>20</v>
      </c>
    </row>
    <row r="79" spans="1:9" ht="16.5" customHeight="1">
      <c r="A79" s="329" t="s">
        <v>1376</v>
      </c>
      <c r="B79" s="21" t="s">
        <v>141</v>
      </c>
      <c r="C79" s="9" t="s">
        <v>373</v>
      </c>
      <c r="D79" s="46" t="s">
        <v>360</v>
      </c>
      <c r="E79" s="46" t="s">
        <v>296</v>
      </c>
      <c r="F79" s="48" t="s">
        <v>52</v>
      </c>
      <c r="G79" s="54">
        <v>20</v>
      </c>
      <c r="H79" s="54">
        <v>20</v>
      </c>
    </row>
    <row r="80" spans="1:9" ht="16.5" customHeight="1">
      <c r="A80" s="329" t="s">
        <v>1376</v>
      </c>
      <c r="B80" s="21" t="s">
        <v>142</v>
      </c>
      <c r="C80" s="9" t="s">
        <v>374</v>
      </c>
      <c r="D80" s="46" t="s">
        <v>361</v>
      </c>
      <c r="E80" s="46" t="s">
        <v>296</v>
      </c>
      <c r="F80" s="48" t="s">
        <v>52</v>
      </c>
      <c r="G80" s="54">
        <v>110</v>
      </c>
      <c r="H80" s="54">
        <v>110</v>
      </c>
    </row>
    <row r="81" spans="1:8" ht="16.5" customHeight="1">
      <c r="A81" s="329" t="s">
        <v>1376</v>
      </c>
      <c r="B81" s="21" t="s">
        <v>143</v>
      </c>
      <c r="C81" s="9" t="s">
        <v>375</v>
      </c>
      <c r="D81" s="46" t="s">
        <v>362</v>
      </c>
      <c r="E81" s="46" t="s">
        <v>296</v>
      </c>
      <c r="F81" s="48" t="s">
        <v>52</v>
      </c>
      <c r="G81" s="54">
        <v>140</v>
      </c>
      <c r="H81" s="54">
        <v>140</v>
      </c>
    </row>
    <row r="82" spans="1:8" ht="16.5" customHeight="1">
      <c r="A82" s="329" t="s">
        <v>1376</v>
      </c>
      <c r="B82" s="21" t="s">
        <v>144</v>
      </c>
      <c r="C82" s="9" t="s">
        <v>371</v>
      </c>
      <c r="D82" s="46" t="s">
        <v>363</v>
      </c>
      <c r="E82" s="46" t="s">
        <v>296</v>
      </c>
      <c r="F82" s="48" t="s">
        <v>52</v>
      </c>
      <c r="G82" s="54">
        <v>145</v>
      </c>
      <c r="H82" s="54">
        <v>145</v>
      </c>
    </row>
    <row r="83" spans="1:8" ht="16.5" customHeight="1">
      <c r="B83" s="8" t="s">
        <v>377</v>
      </c>
      <c r="C83" s="8" t="s">
        <v>378</v>
      </c>
      <c r="D83" s="8"/>
      <c r="E83" s="8"/>
      <c r="F83" s="8"/>
      <c r="G83" s="8"/>
    </row>
    <row r="84" spans="1:8" ht="16.5" customHeight="1">
      <c r="A84" s="330" t="s">
        <v>1374</v>
      </c>
      <c r="B84" s="21" t="s">
        <v>33</v>
      </c>
      <c r="C84" s="353" t="s">
        <v>390</v>
      </c>
      <c r="D84" s="55" t="s">
        <v>379</v>
      </c>
      <c r="E84" s="55" t="s">
        <v>380</v>
      </c>
      <c r="F84" s="57"/>
      <c r="G84" s="59">
        <f>G49</f>
        <v>3.6745607233443014</v>
      </c>
      <c r="H84" s="118">
        <f>H49</f>
        <v>6.8132150069456374</v>
      </c>
    </row>
    <row r="85" spans="1:8" ht="16.5" customHeight="1">
      <c r="A85" s="330" t="s">
        <v>1374</v>
      </c>
      <c r="B85" s="21" t="s">
        <v>34</v>
      </c>
      <c r="C85" s="9" t="s">
        <v>391</v>
      </c>
      <c r="D85" s="55" t="s">
        <v>332</v>
      </c>
      <c r="E85" s="56"/>
      <c r="F85" s="57"/>
      <c r="G85" s="59">
        <f>G58</f>
        <v>1.2</v>
      </c>
      <c r="H85" s="118">
        <f>H58</f>
        <v>1.2</v>
      </c>
    </row>
    <row r="86" spans="1:8" ht="16.5" customHeight="1">
      <c r="A86" s="330" t="s">
        <v>1374</v>
      </c>
      <c r="B86" s="21" t="s">
        <v>35</v>
      </c>
      <c r="C86" s="353" t="s">
        <v>392</v>
      </c>
      <c r="D86" s="55" t="s">
        <v>381</v>
      </c>
      <c r="E86" s="55" t="s">
        <v>382</v>
      </c>
      <c r="F86" s="55" t="s">
        <v>383</v>
      </c>
      <c r="G86" s="59">
        <f>G85*G84</f>
        <v>4.4094728680131619</v>
      </c>
      <c r="H86" s="118">
        <f>H85*H84</f>
        <v>8.1758580083347638</v>
      </c>
    </row>
    <row r="87" spans="1:8" ht="16.5" customHeight="1">
      <c r="A87" s="330" t="s">
        <v>1374</v>
      </c>
      <c r="B87" s="21" t="s">
        <v>36</v>
      </c>
      <c r="C87" s="9" t="s">
        <v>393</v>
      </c>
      <c r="D87" s="58" t="s">
        <v>384</v>
      </c>
      <c r="E87" s="56" t="s">
        <v>385</v>
      </c>
      <c r="F87" s="57" t="s">
        <v>386</v>
      </c>
      <c r="G87" s="59">
        <f>G31</f>
        <v>30394.86906594575</v>
      </c>
      <c r="H87" s="118">
        <f>H31</f>
        <v>19034.754668201866</v>
      </c>
    </row>
    <row r="88" spans="1:8" ht="16.5" customHeight="1">
      <c r="A88" s="330" t="s">
        <v>1374</v>
      </c>
      <c r="B88" s="21" t="s">
        <v>37</v>
      </c>
      <c r="C88" s="353" t="s">
        <v>394</v>
      </c>
      <c r="D88" s="55" t="s">
        <v>387</v>
      </c>
      <c r="E88" s="55" t="s">
        <v>388</v>
      </c>
      <c r="F88" s="55" t="s">
        <v>389</v>
      </c>
      <c r="G88" s="59">
        <f>G87*G86</f>
        <v>134025.35047310035</v>
      </c>
      <c r="H88" s="118">
        <f>H87*H86</f>
        <v>155625.45139070574</v>
      </c>
    </row>
    <row r="89" spans="1:8" ht="16.5" customHeight="1">
      <c r="B89" s="21" t="s">
        <v>38</v>
      </c>
      <c r="C89" s="73" t="s">
        <v>425</v>
      </c>
      <c r="D89" s="61"/>
      <c r="E89" s="61"/>
      <c r="F89" s="61"/>
      <c r="G89" s="70"/>
      <c r="H89" s="117"/>
    </row>
    <row r="90" spans="1:8" ht="16.5" customHeight="1">
      <c r="A90" s="329" t="s">
        <v>1376</v>
      </c>
      <c r="B90" s="21" t="s">
        <v>39</v>
      </c>
      <c r="C90" s="67" t="s">
        <v>395</v>
      </c>
      <c r="D90" s="65" t="s">
        <v>396</v>
      </c>
      <c r="E90" s="62" t="s">
        <v>291</v>
      </c>
      <c r="F90" s="64" t="s">
        <v>52</v>
      </c>
      <c r="G90" s="75">
        <v>55</v>
      </c>
      <c r="H90" s="280">
        <v>50</v>
      </c>
    </row>
    <row r="91" spans="1:8" ht="16.5" customHeight="1">
      <c r="A91" s="330" t="s">
        <v>1374</v>
      </c>
      <c r="B91" s="21" t="s">
        <v>40</v>
      </c>
      <c r="C91" s="67" t="s">
        <v>397</v>
      </c>
      <c r="D91" s="61" t="s">
        <v>359</v>
      </c>
      <c r="E91" s="61" t="s">
        <v>296</v>
      </c>
      <c r="F91" s="63"/>
      <c r="G91" s="71">
        <f>G78</f>
        <v>20</v>
      </c>
      <c r="H91" s="118">
        <f>H78</f>
        <v>20</v>
      </c>
    </row>
    <row r="92" spans="1:8" ht="16.5" customHeight="1">
      <c r="A92" s="330" t="s">
        <v>1374</v>
      </c>
      <c r="B92" s="21" t="s">
        <v>41</v>
      </c>
      <c r="C92" s="66" t="s">
        <v>398</v>
      </c>
      <c r="D92" s="61" t="s">
        <v>293</v>
      </c>
      <c r="E92" s="61" t="s">
        <v>294</v>
      </c>
      <c r="F92" s="61" t="s">
        <v>292</v>
      </c>
      <c r="G92" s="69">
        <f>G43</f>
        <v>86.754999999999995</v>
      </c>
      <c r="H92" s="116">
        <f>H43</f>
        <v>86.754999999999995</v>
      </c>
    </row>
    <row r="93" spans="1:8" ht="16.5" customHeight="1">
      <c r="A93" s="330" t="s">
        <v>1381</v>
      </c>
      <c r="B93" s="21" t="s">
        <v>42</v>
      </c>
      <c r="C93" s="354" t="s">
        <v>399</v>
      </c>
      <c r="D93" s="65" t="s">
        <v>400</v>
      </c>
      <c r="E93" s="61" t="s">
        <v>388</v>
      </c>
      <c r="F93" s="61" t="s">
        <v>401</v>
      </c>
      <c r="G93" s="71">
        <f>G90*G88/100</f>
        <v>73713.942760205187</v>
      </c>
      <c r="H93" s="118">
        <f>H90*H88/100</f>
        <v>77812.72569535287</v>
      </c>
    </row>
    <row r="94" spans="1:8" ht="16.5" customHeight="1">
      <c r="A94" s="330" t="s">
        <v>1374</v>
      </c>
      <c r="B94" s="21" t="s">
        <v>43</v>
      </c>
      <c r="C94" s="354" t="s">
        <v>402</v>
      </c>
      <c r="D94" s="65" t="s">
        <v>403</v>
      </c>
      <c r="E94" s="61" t="s">
        <v>404</v>
      </c>
      <c r="F94" s="65" t="s">
        <v>405</v>
      </c>
      <c r="G94" s="60">
        <f>G93*(273+G91)/273*101.325/G92</f>
        <v>92401.008790157139</v>
      </c>
      <c r="H94" s="60">
        <f>H93*(273+H91)/273*101.325/H92</f>
        <v>97538.865535271965</v>
      </c>
    </row>
    <row r="95" spans="1:8" ht="16.5" customHeight="1">
      <c r="A95" s="330" t="s">
        <v>1374</v>
      </c>
      <c r="B95" s="21" t="s">
        <v>54</v>
      </c>
      <c r="C95" s="74" t="s">
        <v>406</v>
      </c>
      <c r="D95" s="61" t="s">
        <v>407</v>
      </c>
      <c r="E95" s="61" t="s">
        <v>408</v>
      </c>
      <c r="F95" s="65"/>
      <c r="G95" s="71">
        <f>G48</f>
        <v>1.2895732310383834</v>
      </c>
      <c r="H95" s="118">
        <f>H48</f>
        <v>1.2895732310383834</v>
      </c>
    </row>
    <row r="96" spans="1:8" ht="16.5" customHeight="1">
      <c r="A96" s="330" t="s">
        <v>1374</v>
      </c>
      <c r="B96" s="21" t="s">
        <v>55</v>
      </c>
      <c r="C96" s="67" t="s">
        <v>409</v>
      </c>
      <c r="D96" s="65" t="s">
        <v>410</v>
      </c>
      <c r="E96" s="61" t="s">
        <v>385</v>
      </c>
      <c r="F96" s="65" t="s">
        <v>411</v>
      </c>
      <c r="G96" s="71">
        <f>G95*G93</f>
        <v>95059.527337856256</v>
      </c>
      <c r="H96" s="118">
        <f>H95*H93</f>
        <v>100345.20809085964</v>
      </c>
    </row>
    <row r="97" spans="1:8" ht="16.5" customHeight="1">
      <c r="A97" s="330" t="s">
        <v>1374</v>
      </c>
      <c r="B97" s="21" t="s">
        <v>56</v>
      </c>
      <c r="C97" s="67" t="s">
        <v>412</v>
      </c>
      <c r="D97" s="61" t="s">
        <v>413</v>
      </c>
      <c r="E97" s="61" t="s">
        <v>414</v>
      </c>
      <c r="F97" s="65" t="s">
        <v>415</v>
      </c>
      <c r="G97" s="71">
        <f>G96/G94</f>
        <v>1.0287715316370258</v>
      </c>
      <c r="H97" s="118">
        <f>H96/H94</f>
        <v>1.0287715316370256</v>
      </c>
    </row>
    <row r="98" spans="1:8" ht="16.5" customHeight="1">
      <c r="A98" s="330" t="s">
        <v>1374</v>
      </c>
      <c r="B98" s="21" t="s">
        <v>57</v>
      </c>
      <c r="C98" s="68" t="s">
        <v>416</v>
      </c>
      <c r="D98" s="61" t="s">
        <v>413</v>
      </c>
      <c r="E98" s="61" t="s">
        <v>414</v>
      </c>
      <c r="F98" s="61" t="s">
        <v>417</v>
      </c>
      <c r="G98" s="71">
        <f>G95*273/(273+G91)*G92/101.325</f>
        <v>1.0287715316370256</v>
      </c>
      <c r="H98" s="118">
        <f>H95*273/(273+H91)*H92/101.325</f>
        <v>1.0287715316370256</v>
      </c>
    </row>
    <row r="99" spans="1:8" ht="16.5" customHeight="1">
      <c r="B99" s="21" t="s">
        <v>58</v>
      </c>
      <c r="C99" s="72" t="s">
        <v>426</v>
      </c>
      <c r="D99" s="62"/>
      <c r="E99" s="62"/>
      <c r="F99" s="62"/>
      <c r="G99" s="71"/>
      <c r="H99" s="118"/>
    </row>
    <row r="100" spans="1:8" ht="16.5" customHeight="1">
      <c r="A100" s="330" t="s">
        <v>1374</v>
      </c>
      <c r="B100" s="21" t="s">
        <v>59</v>
      </c>
      <c r="C100" s="67" t="s">
        <v>418</v>
      </c>
      <c r="D100" s="61" t="s">
        <v>361</v>
      </c>
      <c r="E100" s="61" t="s">
        <v>296</v>
      </c>
      <c r="F100" s="63"/>
      <c r="G100" s="71">
        <f>G80</f>
        <v>110</v>
      </c>
      <c r="H100" s="118">
        <f>H80</f>
        <v>110</v>
      </c>
    </row>
    <row r="101" spans="1:8" ht="16.5" customHeight="1">
      <c r="A101" s="330" t="s">
        <v>1374</v>
      </c>
      <c r="B101" s="21" t="s">
        <v>60</v>
      </c>
      <c r="C101" s="354" t="s">
        <v>419</v>
      </c>
      <c r="D101" s="65" t="s">
        <v>420</v>
      </c>
      <c r="E101" s="61" t="s">
        <v>404</v>
      </c>
      <c r="F101" s="65" t="s">
        <v>421</v>
      </c>
      <c r="G101" s="71">
        <f>G93*(273+G100)/273*101.325/G92</f>
        <v>120783.57121716786</v>
      </c>
      <c r="H101" s="118">
        <f>H93*(273+H100)/273*101.325/H92</f>
        <v>127499.60921504833</v>
      </c>
    </row>
    <row r="102" spans="1:8" ht="16.5" customHeight="1">
      <c r="A102" s="330" t="s">
        <v>1374</v>
      </c>
      <c r="B102" s="21" t="s">
        <v>61</v>
      </c>
      <c r="C102" s="67" t="s">
        <v>422</v>
      </c>
      <c r="D102" s="61" t="s">
        <v>423</v>
      </c>
      <c r="E102" s="61" t="s">
        <v>414</v>
      </c>
      <c r="F102" s="65" t="s">
        <v>424</v>
      </c>
      <c r="G102" s="71">
        <f>G96/G101</f>
        <v>0.78702365214007464</v>
      </c>
      <c r="H102" s="118">
        <f>H96/H101</f>
        <v>0.78702365214007453</v>
      </c>
    </row>
    <row r="103" spans="1:8" ht="16.5" customHeight="1">
      <c r="B103" s="21" t="s">
        <v>62</v>
      </c>
      <c r="C103" s="84" t="s">
        <v>451</v>
      </c>
      <c r="D103" s="76"/>
      <c r="E103" s="76"/>
      <c r="F103" s="76"/>
      <c r="G103" s="82"/>
      <c r="H103" s="117"/>
    </row>
    <row r="104" spans="1:8" ht="16.5" customHeight="1">
      <c r="A104" s="329" t="s">
        <v>1376</v>
      </c>
      <c r="B104" s="21" t="s">
        <v>63</v>
      </c>
      <c r="C104" s="81" t="s">
        <v>427</v>
      </c>
      <c r="D104" s="80" t="s">
        <v>428</v>
      </c>
      <c r="E104" s="77" t="s">
        <v>291</v>
      </c>
      <c r="F104" s="79" t="s">
        <v>52</v>
      </c>
      <c r="G104" s="83">
        <f>100-G90</f>
        <v>45</v>
      </c>
      <c r="H104" s="118">
        <f>100-H90</f>
        <v>50</v>
      </c>
    </row>
    <row r="105" spans="1:8" ht="16.5" customHeight="1">
      <c r="A105" s="330" t="s">
        <v>1374</v>
      </c>
      <c r="B105" s="21" t="s">
        <v>141</v>
      </c>
      <c r="C105" s="81" t="s">
        <v>429</v>
      </c>
      <c r="D105" s="76" t="s">
        <v>360</v>
      </c>
      <c r="E105" s="76" t="s">
        <v>296</v>
      </c>
      <c r="F105" s="78"/>
      <c r="G105" s="83">
        <f>G79</f>
        <v>20</v>
      </c>
      <c r="H105" s="118">
        <f>H79</f>
        <v>20</v>
      </c>
    </row>
    <row r="106" spans="1:8" ht="16.5" customHeight="1">
      <c r="A106" s="330" t="s">
        <v>1380</v>
      </c>
      <c r="B106" s="21" t="s">
        <v>142</v>
      </c>
      <c r="C106" s="354" t="s">
        <v>430</v>
      </c>
      <c r="D106" s="80" t="s">
        <v>431</v>
      </c>
      <c r="E106" s="76" t="s">
        <v>388</v>
      </c>
      <c r="F106" s="76" t="s">
        <v>432</v>
      </c>
      <c r="G106" s="83">
        <f>G104/100*G88</f>
        <v>60311.407712895161</v>
      </c>
      <c r="H106" s="118">
        <f>H104/100*H88</f>
        <v>77812.72569535287</v>
      </c>
    </row>
    <row r="107" spans="1:8" ht="16.5" customHeight="1">
      <c r="A107" s="330" t="s">
        <v>1374</v>
      </c>
      <c r="B107" s="21" t="s">
        <v>143</v>
      </c>
      <c r="C107" s="354" t="s">
        <v>433</v>
      </c>
      <c r="D107" s="80" t="s">
        <v>434</v>
      </c>
      <c r="E107" s="76" t="s">
        <v>404</v>
      </c>
      <c r="F107" s="80" t="s">
        <v>435</v>
      </c>
      <c r="G107" s="60">
        <f>G106*(273+G105)/273*101.325/G92</f>
        <v>75600.82537376495</v>
      </c>
      <c r="H107" s="60">
        <f>H106*(273+H105)/273*101.325/H92</f>
        <v>97538.865535271965</v>
      </c>
    </row>
    <row r="108" spans="1:8" ht="16.5" customHeight="1">
      <c r="A108" s="330" t="s">
        <v>1374</v>
      </c>
      <c r="B108" s="21" t="s">
        <v>144</v>
      </c>
      <c r="C108" s="85" t="s">
        <v>406</v>
      </c>
      <c r="D108" s="76" t="s">
        <v>407</v>
      </c>
      <c r="E108" s="76" t="s">
        <v>408</v>
      </c>
      <c r="F108" s="80"/>
      <c r="G108" s="83">
        <f>G95</f>
        <v>1.2895732310383834</v>
      </c>
      <c r="H108" s="118">
        <f>H95</f>
        <v>1.2895732310383834</v>
      </c>
    </row>
    <row r="109" spans="1:8" ht="16.5" customHeight="1">
      <c r="A109" s="330" t="s">
        <v>1374</v>
      </c>
      <c r="B109" s="21" t="s">
        <v>453</v>
      </c>
      <c r="C109" s="81" t="s">
        <v>436</v>
      </c>
      <c r="D109" s="80" t="s">
        <v>437</v>
      </c>
      <c r="E109" s="76" t="s">
        <v>385</v>
      </c>
      <c r="F109" s="80" t="s">
        <v>438</v>
      </c>
      <c r="G109" s="83">
        <f>G108*G106</f>
        <v>77775.976912791491</v>
      </c>
      <c r="H109" s="118">
        <f>H108*H106</f>
        <v>100345.20809085964</v>
      </c>
    </row>
    <row r="110" spans="1:8" ht="16.5" customHeight="1">
      <c r="A110" s="330" t="s">
        <v>1374</v>
      </c>
      <c r="B110" s="21" t="s">
        <v>454</v>
      </c>
      <c r="C110" s="81" t="s">
        <v>439</v>
      </c>
      <c r="D110" s="76" t="s">
        <v>440</v>
      </c>
      <c r="E110" s="76" t="s">
        <v>414</v>
      </c>
      <c r="F110" s="80" t="s">
        <v>441</v>
      </c>
      <c r="G110" s="83">
        <f>G109/G107</f>
        <v>1.0287715316370258</v>
      </c>
      <c r="H110" s="118">
        <f>H109/H107</f>
        <v>1.0287715316370256</v>
      </c>
    </row>
    <row r="111" spans="1:8" ht="16.5" customHeight="1">
      <c r="B111" s="21" t="s">
        <v>455</v>
      </c>
      <c r="C111" s="84" t="s">
        <v>452</v>
      </c>
      <c r="D111" s="77"/>
      <c r="E111" s="77"/>
      <c r="F111" s="77"/>
      <c r="G111" s="83"/>
      <c r="H111" s="118"/>
    </row>
    <row r="112" spans="1:8" ht="16.5" customHeight="1">
      <c r="A112" s="330" t="s">
        <v>1374</v>
      </c>
      <c r="B112" s="21" t="s">
        <v>456</v>
      </c>
      <c r="C112" s="81" t="s">
        <v>442</v>
      </c>
      <c r="D112" s="76" t="s">
        <v>362</v>
      </c>
      <c r="E112" s="76" t="s">
        <v>296</v>
      </c>
      <c r="F112" s="78"/>
      <c r="G112" s="83">
        <f>G81</f>
        <v>140</v>
      </c>
      <c r="H112" s="118">
        <f>H81</f>
        <v>140</v>
      </c>
    </row>
    <row r="113" spans="1:8" ht="16.5" customHeight="1">
      <c r="A113" s="330" t="s">
        <v>1374</v>
      </c>
      <c r="B113" s="21" t="s">
        <v>457</v>
      </c>
      <c r="C113" s="354" t="s">
        <v>443</v>
      </c>
      <c r="D113" s="80" t="s">
        <v>444</v>
      </c>
      <c r="E113" s="76" t="s">
        <v>445</v>
      </c>
      <c r="F113" s="80" t="s">
        <v>446</v>
      </c>
      <c r="G113" s="83">
        <f>G106*(273+G112)/273*101.325/G92</f>
        <v>106563.62074868575</v>
      </c>
      <c r="H113" s="118">
        <f>H106*(273+H112)/273*101.325/H92</f>
        <v>137486.52377497379</v>
      </c>
    </row>
    <row r="114" spans="1:8" ht="16.5" customHeight="1">
      <c r="A114" s="330" t="s">
        <v>1374</v>
      </c>
      <c r="B114" s="21" t="s">
        <v>458</v>
      </c>
      <c r="C114" s="81" t="s">
        <v>447</v>
      </c>
      <c r="D114" s="76" t="s">
        <v>448</v>
      </c>
      <c r="E114" s="76" t="s">
        <v>449</v>
      </c>
      <c r="F114" s="80" t="s">
        <v>450</v>
      </c>
      <c r="G114" s="83">
        <f>G109/G113</f>
        <v>0.72985486384902798</v>
      </c>
      <c r="H114" s="118">
        <f>H109/H113</f>
        <v>0.72985486384902798</v>
      </c>
    </row>
    <row r="115" spans="1:8" ht="16.5" customHeight="1">
      <c r="B115" s="8" t="s">
        <v>459</v>
      </c>
      <c r="C115" s="8" t="s">
        <v>460</v>
      </c>
      <c r="D115" s="8"/>
      <c r="E115" s="8"/>
      <c r="F115" s="8"/>
      <c r="G115" s="8"/>
    </row>
    <row r="116" spans="1:8" ht="16.5" customHeight="1">
      <c r="B116" s="21" t="s">
        <v>33</v>
      </c>
      <c r="C116" s="91" t="s">
        <v>469</v>
      </c>
      <c r="D116" s="87"/>
      <c r="E116" s="87"/>
      <c r="F116" s="87"/>
      <c r="G116" s="90"/>
      <c r="H116"/>
    </row>
    <row r="117" spans="1:8" ht="16.5" customHeight="1">
      <c r="A117" s="330" t="s">
        <v>1374</v>
      </c>
      <c r="B117" s="21" t="s">
        <v>34</v>
      </c>
      <c r="C117" s="9" t="s">
        <v>470</v>
      </c>
      <c r="D117" s="86" t="s">
        <v>353</v>
      </c>
      <c r="E117" s="86" t="s">
        <v>382</v>
      </c>
      <c r="F117" s="86"/>
      <c r="G117" s="90">
        <f>G75</f>
        <v>5.569644079856416</v>
      </c>
      <c r="H117" s="118">
        <f>H75</f>
        <v>9.6951678424832739</v>
      </c>
    </row>
    <row r="118" spans="1:8" ht="16.5" customHeight="1">
      <c r="A118" s="330" t="s">
        <v>1374</v>
      </c>
      <c r="B118" s="21" t="s">
        <v>35</v>
      </c>
      <c r="C118" s="9" t="s">
        <v>471</v>
      </c>
      <c r="D118" s="86" t="s">
        <v>356</v>
      </c>
      <c r="E118" s="86" t="s">
        <v>357</v>
      </c>
      <c r="F118" s="86"/>
      <c r="G118" s="90">
        <f>G76</f>
        <v>7.2406471266215551</v>
      </c>
      <c r="H118" s="118">
        <f>H76</f>
        <v>12.865477417543605</v>
      </c>
    </row>
    <row r="119" spans="1:8" ht="16.5" customHeight="1">
      <c r="A119" s="330" t="s">
        <v>1374</v>
      </c>
      <c r="B119" s="21" t="s">
        <v>36</v>
      </c>
      <c r="C119" s="9" t="s">
        <v>393</v>
      </c>
      <c r="D119" s="89" t="s">
        <v>384</v>
      </c>
      <c r="E119" s="87" t="s">
        <v>385</v>
      </c>
      <c r="F119" s="88"/>
      <c r="G119" s="90">
        <f>G31</f>
        <v>30394.86906594575</v>
      </c>
      <c r="H119" s="118">
        <f>H31</f>
        <v>19034.754668201866</v>
      </c>
    </row>
    <row r="120" spans="1:8" ht="16.5" customHeight="1">
      <c r="A120" s="330" t="s">
        <v>1374</v>
      </c>
      <c r="B120" s="21" t="s">
        <v>37</v>
      </c>
      <c r="C120" s="353" t="s">
        <v>472</v>
      </c>
      <c r="D120" s="86" t="s">
        <v>461</v>
      </c>
      <c r="E120" s="86" t="s">
        <v>388</v>
      </c>
      <c r="F120" s="86" t="s">
        <v>462</v>
      </c>
      <c r="G120" s="90">
        <f>G119*G117</f>
        <v>169288.60255115567</v>
      </c>
      <c r="H120" s="118">
        <f>H119*H117</f>
        <v>184545.14134870912</v>
      </c>
    </row>
    <row r="121" spans="1:8" ht="16.5" customHeight="1">
      <c r="A121" s="330" t="s">
        <v>1374</v>
      </c>
      <c r="B121" s="21" t="s">
        <v>38</v>
      </c>
      <c r="C121" s="9" t="s">
        <v>588</v>
      </c>
      <c r="D121" s="86" t="s">
        <v>463</v>
      </c>
      <c r="E121" s="86" t="s">
        <v>385</v>
      </c>
      <c r="F121" s="86" t="s">
        <v>464</v>
      </c>
      <c r="G121" s="90">
        <f>G119*G118</f>
        <v>220078.5213663785</v>
      </c>
      <c r="H121" s="118">
        <f>H119*H118</f>
        <v>244891.20633223382</v>
      </c>
    </row>
    <row r="122" spans="1:8" ht="16.5" customHeight="1">
      <c r="A122" s="330" t="s">
        <v>1374</v>
      </c>
      <c r="B122" s="21" t="s">
        <v>39</v>
      </c>
      <c r="C122" s="9" t="s">
        <v>589</v>
      </c>
      <c r="D122" s="86" t="s">
        <v>363</v>
      </c>
      <c r="E122" s="86" t="s">
        <v>296</v>
      </c>
      <c r="F122" s="88" t="s">
        <v>52</v>
      </c>
      <c r="G122" s="280">
        <f>G82</f>
        <v>145</v>
      </c>
      <c r="H122" s="280">
        <f>H82</f>
        <v>145</v>
      </c>
    </row>
    <row r="123" spans="1:8" ht="16.5" customHeight="1">
      <c r="A123" s="330" t="s">
        <v>1374</v>
      </c>
      <c r="B123" s="21" t="s">
        <v>40</v>
      </c>
      <c r="C123" s="353" t="s">
        <v>473</v>
      </c>
      <c r="D123" s="86" t="s">
        <v>465</v>
      </c>
      <c r="E123" s="86" t="s">
        <v>404</v>
      </c>
      <c r="F123" s="86" t="s">
        <v>466</v>
      </c>
      <c r="G123" s="90">
        <f>G120*(273+G122)/273*101.325/G92</f>
        <v>302735.57104250102</v>
      </c>
      <c r="H123" s="118">
        <f>H120*(273+H122)/273*101.325/H92</f>
        <v>330018.54765998328</v>
      </c>
    </row>
    <row r="124" spans="1:8" ht="16.5" customHeight="1">
      <c r="A124" s="330" t="s">
        <v>1374</v>
      </c>
      <c r="B124" s="21" t="s">
        <v>41</v>
      </c>
      <c r="C124" s="9" t="s">
        <v>590</v>
      </c>
      <c r="D124" s="86" t="s">
        <v>467</v>
      </c>
      <c r="E124" s="86" t="s">
        <v>414</v>
      </c>
      <c r="F124" s="86" t="s">
        <v>468</v>
      </c>
      <c r="G124" s="90">
        <f>G121/G123</f>
        <v>0.72696617912627681</v>
      </c>
      <c r="H124" s="118">
        <f>H121/H123</f>
        <v>0.74205285753982597</v>
      </c>
    </row>
    <row r="125" spans="1:8" ht="16.5" customHeight="1">
      <c r="B125" s="21" t="s">
        <v>42</v>
      </c>
      <c r="C125" s="98" t="s">
        <v>486</v>
      </c>
      <c r="D125" s="93"/>
      <c r="E125" s="93"/>
      <c r="F125" s="92"/>
      <c r="G125" s="97"/>
      <c r="H125" s="118"/>
    </row>
    <row r="126" spans="1:8" ht="16.5" customHeight="1">
      <c r="A126" s="330" t="s">
        <v>1374</v>
      </c>
      <c r="B126" s="21" t="s">
        <v>43</v>
      </c>
      <c r="C126" s="9" t="s">
        <v>580</v>
      </c>
      <c r="D126" s="92" t="s">
        <v>119</v>
      </c>
      <c r="E126" s="93"/>
      <c r="F126" s="92"/>
      <c r="G126" s="97">
        <f>G68</f>
        <v>1.36</v>
      </c>
      <c r="H126" s="118">
        <f>H68</f>
        <v>1.36</v>
      </c>
    </row>
    <row r="127" spans="1:8" ht="16.5" customHeight="1">
      <c r="A127" s="330" t="s">
        <v>1374</v>
      </c>
      <c r="B127" s="21" t="s">
        <v>54</v>
      </c>
      <c r="C127" s="9" t="s">
        <v>366</v>
      </c>
      <c r="D127" s="92" t="s">
        <v>120</v>
      </c>
      <c r="E127" s="92"/>
      <c r="F127" s="95" t="s">
        <v>121</v>
      </c>
      <c r="G127" s="96">
        <f>G69</f>
        <v>0.02</v>
      </c>
      <c r="H127" s="115">
        <f>H69</f>
        <v>0.02</v>
      </c>
    </row>
    <row r="128" spans="1:8" ht="16.5" customHeight="1">
      <c r="A128" s="330" t="s">
        <v>1374</v>
      </c>
      <c r="B128" s="21" t="s">
        <v>55</v>
      </c>
      <c r="C128" s="9" t="s">
        <v>581</v>
      </c>
      <c r="D128" s="92" t="s">
        <v>122</v>
      </c>
      <c r="E128" s="92"/>
      <c r="F128" s="94" t="s">
        <v>123</v>
      </c>
      <c r="G128" s="96">
        <f>G127+G126</f>
        <v>1.3800000000000001</v>
      </c>
      <c r="H128" s="115">
        <f>H127+H126</f>
        <v>1.3800000000000001</v>
      </c>
    </row>
    <row r="129" spans="1:8" ht="16.5" customHeight="1">
      <c r="A129" s="330" t="s">
        <v>1374</v>
      </c>
      <c r="B129" s="21" t="s">
        <v>56</v>
      </c>
      <c r="C129" s="9" t="s">
        <v>585</v>
      </c>
      <c r="D129" s="93" t="s">
        <v>474</v>
      </c>
      <c r="E129" s="92" t="s">
        <v>296</v>
      </c>
      <c r="F129" s="92"/>
      <c r="G129" s="97">
        <v>20</v>
      </c>
      <c r="H129" s="118">
        <v>20</v>
      </c>
    </row>
    <row r="130" spans="1:8" ht="16.5" customHeight="1">
      <c r="A130" s="330" t="s">
        <v>1374</v>
      </c>
      <c r="B130" s="21" t="s">
        <v>57</v>
      </c>
      <c r="C130" s="9" t="s">
        <v>586</v>
      </c>
      <c r="D130" s="93" t="s">
        <v>475</v>
      </c>
      <c r="E130" s="92" t="s">
        <v>296</v>
      </c>
      <c r="F130" s="92" t="s">
        <v>476</v>
      </c>
      <c r="G130" s="97">
        <f>(G126*G82+G127*G129)/G128</f>
        <v>143.18840579710147</v>
      </c>
      <c r="H130" s="118">
        <f>(H126*H82+H127*H129)/H128</f>
        <v>143.18840579710147</v>
      </c>
    </row>
    <row r="131" spans="1:8" ht="16.5" customHeight="1">
      <c r="A131" s="330" t="s">
        <v>1374</v>
      </c>
      <c r="B131" s="21" t="s">
        <v>58</v>
      </c>
      <c r="C131" s="9" t="s">
        <v>487</v>
      </c>
      <c r="D131" s="92" t="s">
        <v>477</v>
      </c>
      <c r="E131" s="92" t="s">
        <v>382</v>
      </c>
      <c r="F131" s="92" t="s">
        <v>491</v>
      </c>
      <c r="G131" s="97">
        <f>G117+G127*G49+0.0161*G49</f>
        <v>5.7022957219691452</v>
      </c>
      <c r="H131" s="118">
        <f>H117+H127*H49+0.0161*H49</f>
        <v>9.9411249042340124</v>
      </c>
    </row>
    <row r="132" spans="1:8" ht="16.5" customHeight="1">
      <c r="A132" s="330" t="s">
        <v>1374</v>
      </c>
      <c r="B132" s="21" t="s">
        <v>59</v>
      </c>
      <c r="C132" s="9" t="s">
        <v>488</v>
      </c>
      <c r="D132" s="92" t="s">
        <v>478</v>
      </c>
      <c r="E132" s="92" t="s">
        <v>357</v>
      </c>
      <c r="F132" s="92" t="s">
        <v>479</v>
      </c>
      <c r="G132" s="97">
        <f>1-G9/100+1.293*(1+G47/100)*G128*G40</f>
        <v>7.5925657411410654</v>
      </c>
      <c r="H132" s="118">
        <f>1-H9/100+1.293*(1+H47/100)*H128*H40</f>
        <v>13.517990021413612</v>
      </c>
    </row>
    <row r="133" spans="1:8" ht="16.5" customHeight="1">
      <c r="A133" s="330" t="s">
        <v>1394</v>
      </c>
      <c r="B133" s="21" t="s">
        <v>60</v>
      </c>
      <c r="C133" s="353" t="s">
        <v>489</v>
      </c>
      <c r="D133" s="92" t="s">
        <v>480</v>
      </c>
      <c r="E133" s="92" t="s">
        <v>388</v>
      </c>
      <c r="F133" s="92" t="s">
        <v>481</v>
      </c>
      <c r="G133" s="60">
        <f>G131*G119</f>
        <v>173320.53184455476</v>
      </c>
      <c r="H133" s="60">
        <f>H131*H119</f>
        <v>189226.87367804619</v>
      </c>
    </row>
    <row r="134" spans="1:8" ht="16.5" customHeight="1">
      <c r="A134" s="330" t="s">
        <v>1374</v>
      </c>
      <c r="B134" s="21" t="s">
        <v>61</v>
      </c>
      <c r="C134" s="9" t="s">
        <v>587</v>
      </c>
      <c r="D134" s="92" t="s">
        <v>482</v>
      </c>
      <c r="E134" s="92" t="s">
        <v>385</v>
      </c>
      <c r="F134" s="92" t="s">
        <v>483</v>
      </c>
      <c r="G134" s="105">
        <f>G132*G119</f>
        <v>230775.04157656804</v>
      </c>
      <c r="H134" s="118">
        <f>H132*H119</f>
        <v>257311.62366480898</v>
      </c>
    </row>
    <row r="135" spans="1:8" ht="16.5" customHeight="1">
      <c r="A135" s="330" t="s">
        <v>1394</v>
      </c>
      <c r="B135" s="21" t="s">
        <v>62</v>
      </c>
      <c r="C135" s="353" t="s">
        <v>490</v>
      </c>
      <c r="D135" s="92" t="s">
        <v>484</v>
      </c>
      <c r="E135" s="92" t="s">
        <v>404</v>
      </c>
      <c r="F135" s="92" t="s">
        <v>485</v>
      </c>
      <c r="G135" s="60">
        <f>G133*(273+G130)*101.325/273/G43</f>
        <v>308602.50123415998</v>
      </c>
      <c r="H135" s="60">
        <f>H133*(273+H130)*101.325/273/H43</f>
        <v>336924.22874710977</v>
      </c>
    </row>
    <row r="136" spans="1:8" ht="16.5" customHeight="1">
      <c r="B136" s="21" t="s">
        <v>63</v>
      </c>
      <c r="C136" s="106" t="s">
        <v>531</v>
      </c>
      <c r="D136" s="100"/>
      <c r="E136" s="100"/>
      <c r="F136" s="99"/>
      <c r="G136" s="105"/>
      <c r="H136" s="118"/>
    </row>
    <row r="137" spans="1:8" ht="16.5" customHeight="1">
      <c r="A137" s="330" t="s">
        <v>1374</v>
      </c>
      <c r="B137" s="21" t="s">
        <v>141</v>
      </c>
      <c r="C137" s="9" t="s">
        <v>582</v>
      </c>
      <c r="D137" s="101" t="s">
        <v>124</v>
      </c>
      <c r="E137" s="100"/>
      <c r="F137" s="99"/>
      <c r="G137" s="105">
        <f>G71</f>
        <v>0.02</v>
      </c>
      <c r="H137" s="118">
        <f>H71</f>
        <v>0.02</v>
      </c>
    </row>
    <row r="138" spans="1:8" ht="16.5" customHeight="1">
      <c r="A138" s="330" t="s">
        <v>1374</v>
      </c>
      <c r="B138" s="21" t="s">
        <v>142</v>
      </c>
      <c r="C138" s="9" t="s">
        <v>583</v>
      </c>
      <c r="D138" s="99" t="s">
        <v>126</v>
      </c>
      <c r="E138" s="100"/>
      <c r="F138" s="99" t="s">
        <v>492</v>
      </c>
      <c r="G138" s="105">
        <f>G72</f>
        <v>1.4000000000000001</v>
      </c>
      <c r="H138" s="118">
        <f>H72</f>
        <v>1.4000000000000001</v>
      </c>
    </row>
    <row r="139" spans="1:8" ht="16.5" customHeight="1">
      <c r="A139" s="330" t="s">
        <v>1374</v>
      </c>
      <c r="B139" s="21" t="s">
        <v>143</v>
      </c>
      <c r="C139" s="9" t="s">
        <v>591</v>
      </c>
      <c r="D139" s="100" t="s">
        <v>493</v>
      </c>
      <c r="E139" s="99" t="s">
        <v>296</v>
      </c>
      <c r="F139" s="99" t="s">
        <v>494</v>
      </c>
      <c r="G139" s="107">
        <f>G130</f>
        <v>143.18840579710147</v>
      </c>
      <c r="H139" s="280">
        <f>H130</f>
        <v>143.18840579710147</v>
      </c>
    </row>
    <row r="140" spans="1:8" ht="16.5" customHeight="1">
      <c r="A140" s="330" t="s">
        <v>1374</v>
      </c>
      <c r="B140" s="21" t="s">
        <v>144</v>
      </c>
      <c r="C140" s="9" t="s">
        <v>532</v>
      </c>
      <c r="D140" s="99" t="s">
        <v>495</v>
      </c>
      <c r="E140" s="99" t="s">
        <v>382</v>
      </c>
      <c r="F140" s="99" t="s">
        <v>496</v>
      </c>
      <c r="G140" s="105">
        <f>G131+(G137+0.0161)*G49</f>
        <v>5.8349473640818745</v>
      </c>
      <c r="H140" s="118">
        <f>H131+(H137+0.0161)*H49</f>
        <v>10.187081965984749</v>
      </c>
    </row>
    <row r="141" spans="1:8" ht="16.5" customHeight="1">
      <c r="A141" s="330" t="s">
        <v>1374</v>
      </c>
      <c r="B141" s="21" t="s">
        <v>453</v>
      </c>
      <c r="C141" s="9" t="s">
        <v>533</v>
      </c>
      <c r="D141" s="99" t="s">
        <v>497</v>
      </c>
      <c r="E141" s="99" t="s">
        <v>357</v>
      </c>
      <c r="F141" s="99" t="s">
        <v>498</v>
      </c>
      <c r="G141" s="105">
        <f>1-G9/100+1.293*(1+G47/100)*G138*G40</f>
        <v>7.6910681431865893</v>
      </c>
      <c r="H141" s="118">
        <f>1-H9/100+1.293*(1+H47/100)*H138*H40</f>
        <v>13.7006290072312</v>
      </c>
    </row>
    <row r="142" spans="1:8" ht="16.5" customHeight="1">
      <c r="A142" s="330" t="s">
        <v>1374</v>
      </c>
      <c r="B142" s="21" t="s">
        <v>454</v>
      </c>
      <c r="C142" s="353" t="s">
        <v>534</v>
      </c>
      <c r="D142" s="99" t="s">
        <v>499</v>
      </c>
      <c r="E142" s="99" t="s">
        <v>388</v>
      </c>
      <c r="F142" s="99" t="s">
        <v>500</v>
      </c>
      <c r="G142" s="105">
        <f>G140*G119</f>
        <v>177352.46113795385</v>
      </c>
      <c r="H142" s="118">
        <f>H140*H119</f>
        <v>193908.60600738323</v>
      </c>
    </row>
    <row r="143" spans="1:8" ht="16.5" customHeight="1">
      <c r="A143" s="330" t="s">
        <v>1374</v>
      </c>
      <c r="B143" s="21" t="s">
        <v>455</v>
      </c>
      <c r="C143" s="9" t="s">
        <v>535</v>
      </c>
      <c r="D143" s="99" t="s">
        <v>501</v>
      </c>
      <c r="E143" s="99" t="s">
        <v>385</v>
      </c>
      <c r="F143" s="99" t="s">
        <v>502</v>
      </c>
      <c r="G143" s="105">
        <f>G141*G119</f>
        <v>233769.00918942288</v>
      </c>
      <c r="H143" s="118">
        <f>H141*H119</f>
        <v>260788.11195269597</v>
      </c>
    </row>
    <row r="144" spans="1:8" ht="16.5" customHeight="1">
      <c r="A144" s="330" t="s">
        <v>1374</v>
      </c>
      <c r="B144" s="21" t="s">
        <v>456</v>
      </c>
      <c r="C144" s="353" t="s">
        <v>536</v>
      </c>
      <c r="D144" s="99" t="s">
        <v>503</v>
      </c>
      <c r="E144" s="99" t="s">
        <v>404</v>
      </c>
      <c r="F144" s="99" t="s">
        <v>504</v>
      </c>
      <c r="G144" s="105">
        <f>G142*(273+G139)/273*101.325/G43</f>
        <v>315781.4745012059</v>
      </c>
      <c r="H144" s="118">
        <f>H142*(273+H139)/273*101.325/H43</f>
        <v>345260.19616866158</v>
      </c>
    </row>
    <row r="145" spans="1:8" ht="16.5" customHeight="1">
      <c r="A145" s="330" t="s">
        <v>1374</v>
      </c>
      <c r="B145" s="21" t="s">
        <v>457</v>
      </c>
      <c r="C145" s="9" t="s">
        <v>590</v>
      </c>
      <c r="D145" s="99" t="s">
        <v>505</v>
      </c>
      <c r="E145" s="99" t="s">
        <v>414</v>
      </c>
      <c r="F145" s="99" t="s">
        <v>506</v>
      </c>
      <c r="G145" s="105">
        <f>G143/G144</f>
        <v>0.74028728112905862</v>
      </c>
      <c r="H145" s="118">
        <f>H143/H144</f>
        <v>0.75533790123116151</v>
      </c>
    </row>
    <row r="146" spans="1:8" ht="16.5" customHeight="1">
      <c r="B146" s="21" t="s">
        <v>458</v>
      </c>
      <c r="C146" s="106" t="s">
        <v>555</v>
      </c>
      <c r="D146" s="99"/>
      <c r="E146" s="99"/>
      <c r="F146" s="99"/>
      <c r="G146" s="105"/>
      <c r="H146" s="118"/>
    </row>
    <row r="147" spans="1:8" ht="16.5" customHeight="1">
      <c r="A147" s="330" t="s">
        <v>1374</v>
      </c>
      <c r="B147" s="21" t="s">
        <v>543</v>
      </c>
      <c r="C147" s="9" t="s">
        <v>367</v>
      </c>
      <c r="D147" s="99" t="s">
        <v>507</v>
      </c>
      <c r="E147" s="99"/>
      <c r="F147" s="102" t="s">
        <v>121</v>
      </c>
      <c r="G147" s="103">
        <f>G73</f>
        <v>0.03</v>
      </c>
      <c r="H147" s="115">
        <f>H73</f>
        <v>0.03</v>
      </c>
    </row>
    <row r="148" spans="1:8" ht="16.5" customHeight="1">
      <c r="A148" s="330" t="s">
        <v>1374</v>
      </c>
      <c r="B148" s="21" t="s">
        <v>544</v>
      </c>
      <c r="C148" s="9" t="s">
        <v>584</v>
      </c>
      <c r="D148" s="99" t="s">
        <v>127</v>
      </c>
      <c r="E148" s="99"/>
      <c r="F148" s="99" t="s">
        <v>508</v>
      </c>
      <c r="G148" s="104">
        <f>G74</f>
        <v>1.4300000000000002</v>
      </c>
      <c r="H148" s="116">
        <f>H74</f>
        <v>1.4300000000000002</v>
      </c>
    </row>
    <row r="149" spans="1:8" ht="16.5" customHeight="1">
      <c r="A149" s="330" t="s">
        <v>1374</v>
      </c>
      <c r="B149" s="21" t="s">
        <v>545</v>
      </c>
      <c r="C149" s="9" t="s">
        <v>592</v>
      </c>
      <c r="D149" s="100" t="s">
        <v>509</v>
      </c>
      <c r="E149" s="99" t="s">
        <v>296</v>
      </c>
      <c r="F149" s="99" t="s">
        <v>510</v>
      </c>
      <c r="G149" s="105">
        <f>(G138*G139+G147*G129)/G148</f>
        <v>140.6040336475119</v>
      </c>
      <c r="H149" s="118">
        <f>(H138*H139+H147*H129)/H148</f>
        <v>140.6040336475119</v>
      </c>
    </row>
    <row r="150" spans="1:8" ht="16.5" customHeight="1">
      <c r="A150" s="330" t="s">
        <v>1374</v>
      </c>
      <c r="B150" s="21" t="s">
        <v>546</v>
      </c>
      <c r="C150" s="9" t="s">
        <v>537</v>
      </c>
      <c r="D150" s="99" t="s">
        <v>511</v>
      </c>
      <c r="E150" s="99" t="s">
        <v>382</v>
      </c>
      <c r="F150" s="99" t="s">
        <v>512</v>
      </c>
      <c r="G150" s="105">
        <f>G140+(G147+0.0161)*G49</f>
        <v>6.0043446134280467</v>
      </c>
      <c r="H150" s="118">
        <f>H140+(H147+0.0161)*H49</f>
        <v>10.501171177804943</v>
      </c>
    </row>
    <row r="151" spans="1:8" ht="16.5" customHeight="1">
      <c r="A151" s="330" t="s">
        <v>1374</v>
      </c>
      <c r="B151" s="21" t="s">
        <v>547</v>
      </c>
      <c r="C151" s="9" t="s">
        <v>538</v>
      </c>
      <c r="D151" s="99" t="s">
        <v>513</v>
      </c>
      <c r="E151" s="99" t="s">
        <v>357</v>
      </c>
      <c r="F151" s="99" t="s">
        <v>514</v>
      </c>
      <c r="G151" s="105">
        <f>1-G9/100+1.293*(1+G47/100)*G148*G40</f>
        <v>7.8388217462548724</v>
      </c>
      <c r="H151" s="118">
        <f>1-H9/100+1.293*(1+H47/100)*H148*H40</f>
        <v>13.974587485957583</v>
      </c>
    </row>
    <row r="152" spans="1:8" ht="16.5" customHeight="1">
      <c r="A152" s="330" t="s">
        <v>1396</v>
      </c>
      <c r="B152" s="21" t="s">
        <v>548</v>
      </c>
      <c r="C152" s="353" t="s">
        <v>539</v>
      </c>
      <c r="D152" s="99" t="s">
        <v>515</v>
      </c>
      <c r="E152" s="99" t="s">
        <v>388</v>
      </c>
      <c r="F152" s="99" t="s">
        <v>516</v>
      </c>
      <c r="G152" s="60">
        <f>G150*G119</f>
        <v>182501.26835196212</v>
      </c>
      <c r="H152" s="60">
        <f>H150*H119</f>
        <v>199887.21709830954</v>
      </c>
    </row>
    <row r="153" spans="1:8" ht="16.5" customHeight="1">
      <c r="A153" s="330" t="s">
        <v>1374</v>
      </c>
      <c r="B153" s="21" t="s">
        <v>549</v>
      </c>
      <c r="C153" s="9" t="s">
        <v>539</v>
      </c>
      <c r="D153" s="99"/>
      <c r="E153" s="99" t="s">
        <v>517</v>
      </c>
      <c r="F153" s="99" t="s">
        <v>518</v>
      </c>
      <c r="G153" s="105">
        <f>G152/3600</f>
        <v>50.694796764433924</v>
      </c>
      <c r="H153" s="118">
        <f>H152/3600</f>
        <v>55.524226971752654</v>
      </c>
    </row>
    <row r="154" spans="1:8" ht="16.5" customHeight="1">
      <c r="A154" s="330" t="s">
        <v>1374</v>
      </c>
      <c r="B154" s="21" t="s">
        <v>550</v>
      </c>
      <c r="C154" s="9" t="s">
        <v>540</v>
      </c>
      <c r="D154" s="100" t="s">
        <v>519</v>
      </c>
      <c r="E154" s="99" t="s">
        <v>385</v>
      </c>
      <c r="F154" s="99" t="s">
        <v>520</v>
      </c>
      <c r="G154" s="105">
        <f>G151*G119</f>
        <v>238259.96060870506</v>
      </c>
      <c r="H154" s="118">
        <f>H151*H119</f>
        <v>266002.84438452648</v>
      </c>
    </row>
    <row r="155" spans="1:8" ht="16.5" customHeight="1">
      <c r="A155" s="330" t="s">
        <v>1406</v>
      </c>
      <c r="B155" s="21" t="s">
        <v>551</v>
      </c>
      <c r="C155" s="353" t="s">
        <v>541</v>
      </c>
      <c r="D155" s="99" t="s">
        <v>521</v>
      </c>
      <c r="E155" s="99" t="s">
        <v>404</v>
      </c>
      <c r="F155" s="99" t="s">
        <v>522</v>
      </c>
      <c r="G155" s="60">
        <f>G152*(273+G149)/273*101.325/G43</f>
        <v>322931.27246220782</v>
      </c>
      <c r="H155" s="60">
        <f>H152*(273+H149)/273*101.325/H43</f>
        <v>353695.2589392385</v>
      </c>
    </row>
    <row r="156" spans="1:8" ht="16.5" customHeight="1">
      <c r="A156" s="330" t="s">
        <v>1374</v>
      </c>
      <c r="B156" s="21" t="s">
        <v>552</v>
      </c>
      <c r="C156" s="9" t="s">
        <v>541</v>
      </c>
      <c r="D156" s="99" t="s">
        <v>523</v>
      </c>
      <c r="E156" s="99" t="s">
        <v>524</v>
      </c>
      <c r="F156" s="99" t="s">
        <v>525</v>
      </c>
      <c r="G156" s="105">
        <f>G155/3600</f>
        <v>89.70313123950217</v>
      </c>
      <c r="H156" s="118">
        <f>H155/3600</f>
        <v>98.248683038677356</v>
      </c>
    </row>
    <row r="157" spans="1:8" ht="16.5" customHeight="1">
      <c r="A157" s="330" t="s">
        <v>1374</v>
      </c>
      <c r="B157" s="21" t="s">
        <v>553</v>
      </c>
      <c r="C157" s="9" t="s">
        <v>590</v>
      </c>
      <c r="D157" s="99" t="s">
        <v>526</v>
      </c>
      <c r="E157" s="99" t="s">
        <v>414</v>
      </c>
      <c r="F157" s="99" t="s">
        <v>527</v>
      </c>
      <c r="G157" s="60">
        <f>G154/G155</f>
        <v>0.73780392586967025</v>
      </c>
      <c r="H157" s="60">
        <f>H154/H155</f>
        <v>0.75206788234111799</v>
      </c>
    </row>
    <row r="158" spans="1:8" ht="16.5" customHeight="1">
      <c r="A158" s="330" t="s">
        <v>1374</v>
      </c>
      <c r="B158" s="21" t="s">
        <v>554</v>
      </c>
      <c r="C158" s="9" t="s">
        <v>542</v>
      </c>
      <c r="D158" s="100" t="s">
        <v>528</v>
      </c>
      <c r="E158" s="102" t="s">
        <v>529</v>
      </c>
      <c r="F158" s="99" t="s">
        <v>530</v>
      </c>
      <c r="G158" s="60">
        <f>G154/G152</f>
        <v>1.3055249574989787</v>
      </c>
      <c r="H158" s="60">
        <f>H154/H152</f>
        <v>1.3307646594214158</v>
      </c>
    </row>
    <row r="159" spans="1:8" ht="16.5" customHeight="1">
      <c r="B159" s="8" t="s">
        <v>556</v>
      </c>
      <c r="C159" s="8" t="s">
        <v>557</v>
      </c>
      <c r="D159" s="8"/>
      <c r="E159" s="8"/>
      <c r="F159" s="8"/>
      <c r="G159" s="8"/>
      <c r="H159" s="8"/>
    </row>
    <row r="160" spans="1:8" ht="16.5" customHeight="1">
      <c r="A160" s="330" t="s">
        <v>1374</v>
      </c>
      <c r="B160" s="21" t="s">
        <v>33</v>
      </c>
      <c r="C160" s="9" t="s">
        <v>593</v>
      </c>
      <c r="D160" s="108" t="s">
        <v>558</v>
      </c>
      <c r="E160" s="108" t="s">
        <v>559</v>
      </c>
      <c r="F160" s="108" t="s">
        <v>560</v>
      </c>
      <c r="G160" s="118">
        <f>0.21*(G148-1)*G40</f>
        <v>0.32949937230000015</v>
      </c>
      <c r="H160" s="118">
        <f>0.21*(H148-1)*H40</f>
        <v>0.61094379360000028</v>
      </c>
    </row>
    <row r="161" spans="1:8" ht="16.5" customHeight="1">
      <c r="A161" s="330" t="s">
        <v>1374</v>
      </c>
      <c r="B161" s="21" t="s">
        <v>34</v>
      </c>
      <c r="C161" s="9" t="s">
        <v>594</v>
      </c>
      <c r="D161" s="108" t="s">
        <v>561</v>
      </c>
      <c r="E161" s="108" t="s">
        <v>380</v>
      </c>
      <c r="F161" s="108" t="s">
        <v>562</v>
      </c>
      <c r="G161" s="117">
        <f>G51+G52</f>
        <v>3.5904248900000004</v>
      </c>
      <c r="H161" s="117">
        <f>H51+H52</f>
        <v>6.6068307300000004</v>
      </c>
    </row>
    <row r="162" spans="1:8" ht="16.5" customHeight="1">
      <c r="A162" s="330" t="s">
        <v>1374</v>
      </c>
      <c r="B162" s="21" t="s">
        <v>35</v>
      </c>
      <c r="C162" s="9" t="s">
        <v>595</v>
      </c>
      <c r="D162" s="108" t="s">
        <v>563</v>
      </c>
      <c r="E162" s="108" t="s">
        <v>380</v>
      </c>
      <c r="F162" s="108" t="s">
        <v>564</v>
      </c>
      <c r="G162" s="115">
        <f>G40</f>
        <v>3.6489410000000002</v>
      </c>
      <c r="H162" s="115">
        <f>H40</f>
        <v>6.7657120000000006</v>
      </c>
    </row>
    <row r="163" spans="1:8" ht="16.5" customHeight="1">
      <c r="A163" s="330" t="s">
        <v>1374</v>
      </c>
      <c r="B163" s="21" t="s">
        <v>36</v>
      </c>
      <c r="C163" s="9" t="s">
        <v>596</v>
      </c>
      <c r="D163" s="111" t="s">
        <v>384</v>
      </c>
      <c r="E163" s="109" t="s">
        <v>385</v>
      </c>
      <c r="F163" s="110" t="s">
        <v>386</v>
      </c>
      <c r="G163" s="118">
        <f>G119</f>
        <v>30394.86906594575</v>
      </c>
      <c r="H163" s="118">
        <f>H119</f>
        <v>19034.754668201866</v>
      </c>
    </row>
    <row r="164" spans="1:8" ht="16.5" customHeight="1">
      <c r="A164" s="330" t="s">
        <v>1374</v>
      </c>
      <c r="B164" s="21" t="s">
        <v>37</v>
      </c>
      <c r="C164" s="9" t="s">
        <v>364</v>
      </c>
      <c r="D164" s="108" t="s">
        <v>127</v>
      </c>
      <c r="E164" s="108"/>
      <c r="F164" s="108" t="s">
        <v>508</v>
      </c>
      <c r="G164" s="116">
        <f>G74</f>
        <v>1.4300000000000002</v>
      </c>
      <c r="H164" s="116">
        <f>H74</f>
        <v>1.4300000000000002</v>
      </c>
    </row>
    <row r="165" spans="1:8" ht="16.5" customHeight="1">
      <c r="A165" s="330" t="s">
        <v>1374</v>
      </c>
      <c r="B165" s="21" t="s">
        <v>38</v>
      </c>
      <c r="C165" s="9" t="s">
        <v>597</v>
      </c>
      <c r="D165" s="108" t="s">
        <v>565</v>
      </c>
      <c r="E165" s="108" t="s">
        <v>380</v>
      </c>
      <c r="F165" s="108" t="s">
        <v>566</v>
      </c>
      <c r="G165" s="118">
        <f>G161+(G164-1)*G162</f>
        <v>5.1594695200000009</v>
      </c>
      <c r="H165" s="118">
        <f>H161+(H164-1)*H162</f>
        <v>9.5160868900000022</v>
      </c>
    </row>
    <row r="166" spans="1:8" ht="16.5" customHeight="1">
      <c r="A166" s="330" t="s">
        <v>1374</v>
      </c>
      <c r="B166" s="21" t="s">
        <v>39</v>
      </c>
      <c r="C166" s="9"/>
      <c r="D166" s="108" t="s">
        <v>567</v>
      </c>
      <c r="E166" s="108" t="s">
        <v>388</v>
      </c>
      <c r="F166" s="109"/>
      <c r="G166" s="118">
        <f>G165*G163</f>
        <v>156821.40051013799</v>
      </c>
      <c r="H166" s="118">
        <f>H165*H163</f>
        <v>181136.37935244211</v>
      </c>
    </row>
    <row r="167" spans="1:8" ht="16.5" customHeight="1">
      <c r="A167" s="330" t="s">
        <v>1374</v>
      </c>
      <c r="B167" s="21" t="s">
        <v>40</v>
      </c>
      <c r="C167" s="9" t="s">
        <v>598</v>
      </c>
      <c r="D167" s="108" t="s">
        <v>568</v>
      </c>
      <c r="E167" s="109" t="s">
        <v>291</v>
      </c>
      <c r="F167" s="108" t="s">
        <v>569</v>
      </c>
      <c r="G167" s="60">
        <f>G160/G165*100</f>
        <v>6.3863033015843866</v>
      </c>
      <c r="H167" s="60">
        <f>H160/H165*100</f>
        <v>6.420115754113298</v>
      </c>
    </row>
    <row r="168" spans="1:8" ht="16.5" customHeight="1" thickBot="1">
      <c r="A168" s="330" t="s">
        <v>1374</v>
      </c>
      <c r="B168" s="21" t="s">
        <v>41</v>
      </c>
      <c r="C168" s="9" t="s">
        <v>599</v>
      </c>
      <c r="D168" s="112" t="s">
        <v>570</v>
      </c>
      <c r="E168" s="113" t="s">
        <v>388</v>
      </c>
      <c r="F168" s="114" t="s">
        <v>571</v>
      </c>
      <c r="G168" s="119">
        <f>G166*(21-G167)/(21-6)</f>
        <v>152782.69219172775</v>
      </c>
      <c r="H168" s="119">
        <f>H166*(21-H167)/(21-6)</f>
        <v>176063.16291184185</v>
      </c>
    </row>
  </sheetData>
  <mergeCells count="8">
    <mergeCell ref="G2:H2"/>
    <mergeCell ref="C14:C15"/>
    <mergeCell ref="B2:B3"/>
    <mergeCell ref="B14:B15"/>
    <mergeCell ref="F2:F3"/>
    <mergeCell ref="C2:C3"/>
    <mergeCell ref="D2:D3"/>
    <mergeCell ref="E2:E3"/>
  </mergeCells>
  <phoneticPr fontId="1" type="noConversion"/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AB111"/>
  <sheetViews>
    <sheetView workbookViewId="0">
      <selection activeCell="J12" sqref="J12"/>
    </sheetView>
  </sheetViews>
  <sheetFormatPr defaultColWidth="9" defaultRowHeight="13.5"/>
  <cols>
    <col min="1" max="1" width="8.625" style="26" customWidth="1"/>
    <col min="2" max="2" width="15.625" style="26" customWidth="1"/>
    <col min="3" max="4" width="8.625" style="26" customWidth="1"/>
    <col min="5" max="5" width="43.875" style="26" customWidth="1"/>
    <col min="6" max="6" width="11.625" style="215" customWidth="1"/>
    <col min="7" max="7" width="12.875" style="26" customWidth="1"/>
    <col min="8" max="9" width="8.625" style="26" customWidth="1"/>
    <col min="10" max="10" width="10.625" style="26" customWidth="1"/>
    <col min="11" max="11" width="13.75" style="26" customWidth="1"/>
    <col min="12" max="16" width="8.625" style="26" customWidth="1"/>
    <col min="17" max="26" width="12.625" style="26" customWidth="1"/>
    <col min="27" max="27" width="10.625" style="26" customWidth="1"/>
    <col min="28" max="16384" width="9" style="26"/>
  </cols>
  <sheetData>
    <row r="1" spans="1:9">
      <c r="A1" s="367" t="s">
        <v>1125</v>
      </c>
      <c r="B1" s="368"/>
      <c r="C1" s="368"/>
      <c r="D1" s="368"/>
      <c r="E1" s="368"/>
      <c r="F1" s="370"/>
    </row>
    <row r="2" spans="1:9" ht="18.75">
      <c r="A2" s="184" t="s">
        <v>974</v>
      </c>
      <c r="B2" s="185" t="s">
        <v>975</v>
      </c>
      <c r="C2" s="185" t="s">
        <v>976</v>
      </c>
      <c r="D2" s="185"/>
      <c r="E2" s="185" t="s">
        <v>968</v>
      </c>
      <c r="F2" s="186">
        <v>0.82</v>
      </c>
    </row>
    <row r="3" spans="1:9" ht="18.75">
      <c r="A3" s="184" t="s">
        <v>152</v>
      </c>
      <c r="B3" s="185" t="s">
        <v>977</v>
      </c>
      <c r="C3" s="185" t="s">
        <v>978</v>
      </c>
      <c r="D3" s="185"/>
      <c r="E3" s="185" t="s">
        <v>968</v>
      </c>
      <c r="F3" s="186">
        <v>0.95</v>
      </c>
    </row>
    <row r="4" spans="1:9" ht="18.75">
      <c r="A4" s="184" t="s">
        <v>156</v>
      </c>
      <c r="B4" s="185" t="s">
        <v>979</v>
      </c>
      <c r="C4" s="185" t="s">
        <v>980</v>
      </c>
      <c r="D4" s="185"/>
      <c r="E4" s="185" t="s">
        <v>968</v>
      </c>
      <c r="F4" s="186">
        <v>0.97299999999999998</v>
      </c>
    </row>
    <row r="5" spans="1:9">
      <c r="A5" s="184" t="s">
        <v>160</v>
      </c>
      <c r="B5" s="185" t="s">
        <v>981</v>
      </c>
      <c r="C5" s="185"/>
      <c r="D5" s="187" t="s">
        <v>969</v>
      </c>
      <c r="E5" s="188" t="s">
        <v>873</v>
      </c>
      <c r="F5" s="189">
        <v>8.83</v>
      </c>
    </row>
    <row r="6" spans="1:9">
      <c r="A6" s="184" t="s">
        <v>164</v>
      </c>
      <c r="B6" s="190" t="s">
        <v>982</v>
      </c>
      <c r="C6" s="185"/>
      <c r="D6" s="187" t="s">
        <v>971</v>
      </c>
      <c r="E6" s="188" t="s">
        <v>970</v>
      </c>
      <c r="F6" s="189">
        <v>540</v>
      </c>
    </row>
    <row r="7" spans="1:9">
      <c r="A7" s="184" t="s">
        <v>167</v>
      </c>
      <c r="B7" s="191" t="s">
        <v>983</v>
      </c>
      <c r="C7" s="185" t="s">
        <v>972</v>
      </c>
      <c r="D7" s="192" t="s">
        <v>973</v>
      </c>
      <c r="E7" s="193" t="s">
        <v>984</v>
      </c>
      <c r="F7" s="186">
        <v>130</v>
      </c>
      <c r="G7" s="223"/>
    </row>
    <row r="8" spans="1:9">
      <c r="A8" s="184" t="s">
        <v>204</v>
      </c>
      <c r="B8" s="190" t="s">
        <v>985</v>
      </c>
      <c r="C8" s="185"/>
      <c r="D8" s="187" t="s">
        <v>986</v>
      </c>
      <c r="E8" s="188" t="s">
        <v>987</v>
      </c>
      <c r="F8" s="194">
        <f>_xll.S_PT(F5,F6)</f>
        <v>6.7965621973639525</v>
      </c>
      <c r="I8" s="223">
        <f>H10-F7</f>
        <v>586.51363080514307</v>
      </c>
    </row>
    <row r="9" spans="1:9">
      <c r="A9" s="184" t="s">
        <v>209</v>
      </c>
      <c r="B9" s="191" t="s">
        <v>988</v>
      </c>
      <c r="C9" s="188" t="s">
        <v>989</v>
      </c>
      <c r="D9" s="187" t="s">
        <v>990</v>
      </c>
      <c r="E9" s="187" t="s">
        <v>987</v>
      </c>
      <c r="F9" s="186">
        <f>_xll.H_PT($F$5,$F$6)</f>
        <v>3488.9820780514765</v>
      </c>
    </row>
    <row r="10" spans="1:9" ht="15">
      <c r="A10" s="184" t="s">
        <v>212</v>
      </c>
      <c r="B10" s="195" t="s">
        <v>1127</v>
      </c>
      <c r="C10" s="196" t="s">
        <v>991</v>
      </c>
      <c r="D10" s="187" t="s">
        <v>992</v>
      </c>
      <c r="E10" s="187" t="s">
        <v>993</v>
      </c>
      <c r="F10" s="189">
        <v>0.2</v>
      </c>
      <c r="G10" s="223">
        <f>F15</f>
        <v>130</v>
      </c>
      <c r="H10" s="26">
        <f>(G10*G13+I13*I10)/H13</f>
        <v>716.51363080514307</v>
      </c>
      <c r="I10" s="26">
        <v>1120</v>
      </c>
    </row>
    <row r="11" spans="1:9">
      <c r="A11" s="184" t="s">
        <v>216</v>
      </c>
      <c r="B11" s="190" t="s">
        <v>994</v>
      </c>
      <c r="C11" s="185"/>
      <c r="D11" s="187" t="s">
        <v>995</v>
      </c>
      <c r="E11" s="187" t="s">
        <v>987</v>
      </c>
      <c r="F11" s="186">
        <f>_xll.T_PS($F$10,$F$12)</f>
        <v>120.21154916847178</v>
      </c>
      <c r="G11" s="223">
        <f>F10</f>
        <v>0.2</v>
      </c>
      <c r="H11" s="26">
        <v>0.2</v>
      </c>
      <c r="I11" s="26">
        <f>G11*1.5</f>
        <v>0.30000000000000004</v>
      </c>
    </row>
    <row r="12" spans="1:9">
      <c r="A12" s="184" t="s">
        <v>217</v>
      </c>
      <c r="B12" s="198" t="s">
        <v>985</v>
      </c>
      <c r="C12" s="188" t="s">
        <v>996</v>
      </c>
      <c r="D12" s="187" t="s">
        <v>986</v>
      </c>
      <c r="E12" s="187" t="s">
        <v>997</v>
      </c>
      <c r="F12" s="186">
        <f>F8</f>
        <v>6.7965621973639525</v>
      </c>
      <c r="G12" s="223">
        <f>F11</f>
        <v>120.21154916847178</v>
      </c>
      <c r="H12" s="26">
        <v>100</v>
      </c>
      <c r="I12" s="26">
        <v>50</v>
      </c>
    </row>
    <row r="13" spans="1:9">
      <c r="A13" s="184" t="s">
        <v>219</v>
      </c>
      <c r="B13" s="198" t="s">
        <v>988</v>
      </c>
      <c r="C13" s="188" t="s">
        <v>998</v>
      </c>
      <c r="D13" s="187" t="s">
        <v>990</v>
      </c>
      <c r="E13" s="187" t="s">
        <v>987</v>
      </c>
      <c r="F13" s="186">
        <f>_xll.H_PS($F$10,$F$12)</f>
        <v>2576.315831975322</v>
      </c>
      <c r="G13" s="26">
        <f>_xll.H_PT($G$11,$G$12)</f>
        <v>504.6838592689918</v>
      </c>
      <c r="H13" s="26">
        <f>_xll.H_PT($H$11,$H$12)</f>
        <v>419.17319539735519</v>
      </c>
      <c r="I13" s="26">
        <f>_xll.H_PT(I11,I12)</f>
        <v>209.58429148694978</v>
      </c>
    </row>
    <row r="14" spans="1:9">
      <c r="A14" s="184" t="s">
        <v>222</v>
      </c>
      <c r="B14" s="198" t="s">
        <v>988</v>
      </c>
      <c r="C14" s="188" t="s">
        <v>998</v>
      </c>
      <c r="D14" s="187" t="s">
        <v>990</v>
      </c>
      <c r="E14" s="187" t="s">
        <v>987</v>
      </c>
      <c r="F14" s="186">
        <f>_xll.H_PS($F$10,$F$12)</f>
        <v>2576.315831975322</v>
      </c>
    </row>
    <row r="15" spans="1:9" ht="20.100000000000001" customHeight="1">
      <c r="A15" s="184" t="s">
        <v>227</v>
      </c>
      <c r="B15" s="191" t="s">
        <v>999</v>
      </c>
      <c r="C15" s="185" t="s">
        <v>1000</v>
      </c>
      <c r="D15" s="192" t="s">
        <v>1001</v>
      </c>
      <c r="E15" s="199"/>
      <c r="F15" s="200">
        <v>130</v>
      </c>
    </row>
    <row r="16" spans="1:9" s="201" customFormat="1">
      <c r="A16" s="184" t="s">
        <v>230</v>
      </c>
      <c r="B16" s="188" t="s">
        <v>1128</v>
      </c>
      <c r="C16" s="188" t="s">
        <v>1002</v>
      </c>
      <c r="D16" s="192" t="s">
        <v>1001</v>
      </c>
      <c r="E16" s="187" t="s">
        <v>1003</v>
      </c>
      <c r="F16" s="186">
        <f>F7-F15</f>
        <v>0</v>
      </c>
    </row>
    <row r="17" spans="1:28" s="201" customFormat="1" ht="15">
      <c r="A17" s="184" t="s">
        <v>231</v>
      </c>
      <c r="B17" s="191" t="s">
        <v>1004</v>
      </c>
      <c r="C17" s="196" t="s">
        <v>991</v>
      </c>
      <c r="D17" s="187" t="s">
        <v>992</v>
      </c>
      <c r="E17" s="187"/>
      <c r="F17" s="186">
        <f>F10</f>
        <v>0.2</v>
      </c>
    </row>
    <row r="18" spans="1:28" s="201" customFormat="1" ht="16.5">
      <c r="A18" s="184" t="s">
        <v>883</v>
      </c>
      <c r="B18" s="191" t="s">
        <v>1005</v>
      </c>
      <c r="C18" s="188" t="s">
        <v>1006</v>
      </c>
      <c r="D18" s="187" t="s">
        <v>1007</v>
      </c>
      <c r="E18" s="187" t="s">
        <v>1008</v>
      </c>
      <c r="F18" s="186">
        <f>F14</f>
        <v>2576.315831975322</v>
      </c>
    </row>
    <row r="19" spans="1:28" s="201" customFormat="1" ht="16.5">
      <c r="A19" s="184" t="s">
        <v>886</v>
      </c>
      <c r="B19" s="191" t="s">
        <v>1009</v>
      </c>
      <c r="C19" s="188" t="s">
        <v>1010</v>
      </c>
      <c r="D19" s="187" t="s">
        <v>1011</v>
      </c>
      <c r="E19" s="187" t="s">
        <v>1012</v>
      </c>
      <c r="F19" s="186">
        <f>F8</f>
        <v>6.7965621973639525</v>
      </c>
    </row>
    <row r="20" spans="1:28" ht="20.100000000000001" customHeight="1">
      <c r="A20" s="184" t="s">
        <v>888</v>
      </c>
      <c r="B20" s="185" t="s">
        <v>1013</v>
      </c>
      <c r="C20" s="188" t="s">
        <v>1014</v>
      </c>
      <c r="D20" s="192" t="s">
        <v>872</v>
      </c>
      <c r="E20" s="187" t="s">
        <v>1015</v>
      </c>
      <c r="F20" s="197">
        <v>8.9999999999999993E-3</v>
      </c>
    </row>
    <row r="21" spans="1:28" ht="20.100000000000001" customHeight="1">
      <c r="A21" s="184" t="s">
        <v>892</v>
      </c>
      <c r="B21" s="190" t="s">
        <v>1016</v>
      </c>
      <c r="C21" s="188" t="s">
        <v>1017</v>
      </c>
      <c r="D21" s="187" t="s">
        <v>1018</v>
      </c>
      <c r="E21" s="187" t="s">
        <v>1019</v>
      </c>
      <c r="F21" s="186">
        <f>_xll.H_PS($F$20,$F$19)</f>
        <v>2139.9466702642421</v>
      </c>
    </row>
    <row r="22" spans="1:28" ht="20.100000000000001" customHeight="1">
      <c r="A22" s="184" t="s">
        <v>895</v>
      </c>
      <c r="B22" s="187" t="s">
        <v>1020</v>
      </c>
      <c r="C22" s="187" t="s">
        <v>1021</v>
      </c>
      <c r="D22" s="187" t="s">
        <v>1022</v>
      </c>
      <c r="E22" s="28"/>
      <c r="F22" s="182">
        <f>F2*F3*F4/3.6*(F7*(F9-F13)+F16*(F18-F21))</f>
        <v>24980.615708374611</v>
      </c>
    </row>
    <row r="23" spans="1:28" ht="20.100000000000001" customHeight="1">
      <c r="A23" s="184" t="s">
        <v>896</v>
      </c>
      <c r="B23" s="202" t="s">
        <v>1023</v>
      </c>
      <c r="C23" s="187" t="s">
        <v>1021</v>
      </c>
      <c r="D23" s="187" t="s">
        <v>1024</v>
      </c>
      <c r="E23" s="28" t="s">
        <v>1025</v>
      </c>
      <c r="F23" s="182">
        <f>0.85*F22/1000</f>
        <v>21.233523352118421</v>
      </c>
    </row>
    <row r="24" spans="1:28" ht="20.100000000000001" customHeight="1">
      <c r="A24" s="184" t="s">
        <v>897</v>
      </c>
      <c r="B24" s="202" t="s">
        <v>1026</v>
      </c>
      <c r="C24" s="187" t="s">
        <v>1021</v>
      </c>
      <c r="D24" s="187" t="s">
        <v>1024</v>
      </c>
      <c r="E24" s="37"/>
      <c r="F24" s="235">
        <v>73</v>
      </c>
    </row>
    <row r="25" spans="1:28" ht="20.100000000000001" customHeight="1">
      <c r="A25" s="184" t="s">
        <v>898</v>
      </c>
      <c r="B25" s="203" t="s">
        <v>1027</v>
      </c>
      <c r="C25" s="204"/>
      <c r="D25" s="204"/>
      <c r="E25" s="205"/>
      <c r="F25" s="226">
        <v>0.03</v>
      </c>
    </row>
    <row r="26" spans="1:28" ht="20.100000000000001" customHeight="1">
      <c r="A26" s="301"/>
      <c r="B26" s="302" t="s">
        <v>1288</v>
      </c>
      <c r="C26" s="303"/>
      <c r="D26" s="303" t="s">
        <v>1289</v>
      </c>
      <c r="E26" s="304" t="s">
        <v>1290</v>
      </c>
      <c r="F26" s="305">
        <v>300</v>
      </c>
    </row>
    <row r="27" spans="1:28" ht="20.100000000000001" customHeight="1">
      <c r="A27" s="371" t="s">
        <v>1126</v>
      </c>
      <c r="B27" s="372"/>
      <c r="C27" s="372"/>
      <c r="D27" s="372"/>
      <c r="E27" s="372"/>
      <c r="F27" s="372"/>
      <c r="G27" s="372"/>
      <c r="H27" s="372"/>
      <c r="I27" s="372"/>
      <c r="J27" s="372"/>
      <c r="K27" s="373"/>
    </row>
    <row r="28" spans="1:28" ht="20.100000000000001" customHeight="1">
      <c r="A28" s="374" t="s">
        <v>1028</v>
      </c>
      <c r="B28" s="375"/>
      <c r="C28" s="375"/>
      <c r="D28" s="375"/>
      <c r="E28" s="375"/>
      <c r="F28" s="375"/>
      <c r="G28" s="375"/>
      <c r="H28" s="375"/>
      <c r="I28" s="375"/>
      <c r="J28" s="375"/>
      <c r="K28" s="376"/>
    </row>
    <row r="29" spans="1:28" s="208" customFormat="1" ht="34.5" customHeight="1">
      <c r="A29" s="206" t="s">
        <v>967</v>
      </c>
      <c r="B29" s="207" t="s">
        <v>1029</v>
      </c>
      <c r="C29" s="207" t="s">
        <v>1030</v>
      </c>
      <c r="D29" s="207" t="s">
        <v>1031</v>
      </c>
      <c r="E29" s="207" t="s">
        <v>1032</v>
      </c>
      <c r="F29" s="227" t="s">
        <v>1033</v>
      </c>
      <c r="G29" s="206" t="s">
        <v>1034</v>
      </c>
      <c r="H29" s="206" t="s">
        <v>1035</v>
      </c>
      <c r="I29" s="206" t="s">
        <v>1036</v>
      </c>
      <c r="J29" s="206" t="s">
        <v>1037</v>
      </c>
      <c r="K29" s="206" t="s">
        <v>1038</v>
      </c>
      <c r="L29" s="26"/>
      <c r="M29" s="26"/>
      <c r="N29" s="26"/>
      <c r="X29" s="208">
        <f>_xll.HL_T('[1]原则性热力系统--无高加'!$X$47)</f>
        <v>1197.8561751308459</v>
      </c>
    </row>
    <row r="30" spans="1:28" s="208" customFormat="1" ht="21.75" customHeight="1">
      <c r="A30" s="206" t="s">
        <v>1039</v>
      </c>
      <c r="B30" s="207" t="s">
        <v>1040</v>
      </c>
      <c r="C30" s="207" t="s">
        <v>1041</v>
      </c>
      <c r="D30" s="207" t="s">
        <v>1042</v>
      </c>
      <c r="E30" s="207" t="s">
        <v>1043</v>
      </c>
      <c r="F30" s="227" t="s">
        <v>1044</v>
      </c>
      <c r="G30" s="206" t="s">
        <v>1045</v>
      </c>
      <c r="H30" s="206" t="s">
        <v>1046</v>
      </c>
      <c r="I30" s="206" t="s">
        <v>1047</v>
      </c>
      <c r="J30" s="206" t="s">
        <v>1048</v>
      </c>
      <c r="K30" s="206" t="s">
        <v>1049</v>
      </c>
      <c r="V30" s="208">
        <f t="shared" ref="V30:V36" si="0">W30-W31</f>
        <v>148.60000000000014</v>
      </c>
      <c r="W30" s="208">
        <v>1193.4000000000001</v>
      </c>
      <c r="X30" s="208">
        <v>272.5</v>
      </c>
      <c r="Y30" s="208">
        <f t="shared" ref="Y30:Y36" si="1">X30-X31</f>
        <v>31.5</v>
      </c>
      <c r="AA30" s="208">
        <v>3137.5</v>
      </c>
      <c r="AB30" s="208">
        <f t="shared" ref="AB30:AB36" si="2">AA30-AA31</f>
        <v>117.5</v>
      </c>
    </row>
    <row r="31" spans="1:28" s="208" customFormat="1" ht="19.5" customHeight="1">
      <c r="A31" s="206" t="s">
        <v>1050</v>
      </c>
      <c r="B31" s="207" t="s">
        <v>1051</v>
      </c>
      <c r="C31" s="207" t="s">
        <v>1052</v>
      </c>
      <c r="D31" s="207" t="s">
        <v>1051</v>
      </c>
      <c r="E31" s="207" t="s">
        <v>1051</v>
      </c>
      <c r="F31" s="228" t="s">
        <v>1051</v>
      </c>
      <c r="G31" s="206" t="s">
        <v>872</v>
      </c>
      <c r="H31" s="206" t="s">
        <v>872</v>
      </c>
      <c r="I31" s="206" t="s">
        <v>872</v>
      </c>
      <c r="J31" s="207" t="s">
        <v>1052</v>
      </c>
      <c r="K31" s="206" t="s">
        <v>874</v>
      </c>
      <c r="V31" s="208">
        <f t="shared" si="0"/>
        <v>186.29999999999995</v>
      </c>
      <c r="W31" s="208">
        <v>1044.8</v>
      </c>
      <c r="X31" s="208">
        <v>241</v>
      </c>
      <c r="Y31" s="208">
        <f t="shared" si="1"/>
        <v>41.400000000000006</v>
      </c>
      <c r="AA31" s="208">
        <v>3020</v>
      </c>
      <c r="AB31" s="208">
        <f t="shared" si="2"/>
        <v>-305</v>
      </c>
    </row>
    <row r="32" spans="1:28" s="214" customFormat="1" ht="20.100000000000001" customHeight="1">
      <c r="A32" s="209" t="s">
        <v>1053</v>
      </c>
      <c r="B32" s="210">
        <v>215</v>
      </c>
      <c r="C32" s="211">
        <f>_xll.HL_T($B$32)</f>
        <v>920.60856642728231</v>
      </c>
      <c r="D32" s="212">
        <v>2.8</v>
      </c>
      <c r="E32" s="211">
        <f>B32+D32</f>
        <v>217.8</v>
      </c>
      <c r="F32" s="229">
        <f>_xll.HL_T($E$32)</f>
        <v>933.48758109181199</v>
      </c>
      <c r="G32" s="211">
        <f>_xll.P_T(E32)</f>
        <v>2.2232704725985939</v>
      </c>
      <c r="H32" s="213">
        <v>0.08</v>
      </c>
      <c r="I32" s="211">
        <f>G32/(1-H32)</f>
        <v>2.4165983397810802</v>
      </c>
      <c r="J32" s="211">
        <f>_xll.H_PS($I$32,$F$8)</f>
        <v>3089.6754159269049</v>
      </c>
      <c r="K32" s="211">
        <f>(F26)*(C32-C33)/(J32-F32)/0.98</f>
        <v>18.010951273015337</v>
      </c>
      <c r="M32" s="215"/>
      <c r="U32" s="208"/>
      <c r="V32" s="208">
        <f t="shared" si="0"/>
        <v>146.29999999999995</v>
      </c>
      <c r="W32" s="214">
        <v>858.5</v>
      </c>
      <c r="X32" s="214">
        <v>199.6</v>
      </c>
      <c r="Y32" s="208">
        <f t="shared" si="1"/>
        <v>31.199999999999989</v>
      </c>
      <c r="AA32" s="214">
        <v>3325</v>
      </c>
      <c r="AB32" s="208">
        <f t="shared" si="2"/>
        <v>195.59999999999991</v>
      </c>
    </row>
    <row r="33" spans="1:28" s="214" customFormat="1" ht="20.100000000000001" customHeight="1">
      <c r="A33" s="209" t="s">
        <v>1054</v>
      </c>
      <c r="B33" s="216">
        <f>ROUND(B32-(B32-B35)/2,0)</f>
        <v>187</v>
      </c>
      <c r="C33" s="211">
        <f>C32-(C32-C35)/2</f>
        <v>793.74758593358354</v>
      </c>
      <c r="D33" s="212">
        <v>2.8</v>
      </c>
      <c r="E33" s="211">
        <f>B33+D33</f>
        <v>189.8</v>
      </c>
      <c r="F33" s="229">
        <f>_xll.HL_T($E$33)</f>
        <v>806.67423665331</v>
      </c>
      <c r="G33" s="211">
        <f>_xll.P_T(E33)</f>
        <v>1.2495257656589573</v>
      </c>
      <c r="H33" s="213">
        <v>0.08</v>
      </c>
      <c r="I33" s="211">
        <f>G33/(1-H33)</f>
        <v>1.358180180064084</v>
      </c>
      <c r="J33" s="211">
        <f>_xll.H_PS($I$33,$F$8)</f>
        <v>2946.0587257209595</v>
      </c>
      <c r="K33" s="211">
        <f>((F26)*(C33-C35)-K32*0.98*(F32-F33))/(J33-F33)/0.98</f>
        <v>17.084804179898658</v>
      </c>
      <c r="M33" s="215"/>
      <c r="U33" s="208"/>
      <c r="V33" s="208">
        <f t="shared" si="0"/>
        <v>152.5</v>
      </c>
      <c r="W33" s="214">
        <v>712.2</v>
      </c>
      <c r="X33" s="214">
        <v>168.4</v>
      </c>
      <c r="Y33" s="208">
        <f t="shared" si="1"/>
        <v>35.400000000000006</v>
      </c>
      <c r="AA33" s="214">
        <v>3129.4</v>
      </c>
      <c r="AB33" s="208">
        <f t="shared" si="2"/>
        <v>199.30000000000018</v>
      </c>
    </row>
    <row r="34" spans="1:28" s="214" customFormat="1" ht="20.100000000000001" customHeight="1">
      <c r="A34" s="217" t="s">
        <v>1055</v>
      </c>
      <c r="B34" s="218" t="s">
        <v>1056</v>
      </c>
      <c r="C34" s="218" t="s">
        <v>1057</v>
      </c>
      <c r="D34" s="218">
        <v>50</v>
      </c>
      <c r="E34" s="218" t="s">
        <v>1058</v>
      </c>
      <c r="F34" s="230">
        <f>2*G35</f>
        <v>1.1759999999999999</v>
      </c>
      <c r="G34" s="218" t="s">
        <v>1059</v>
      </c>
      <c r="H34" s="218">
        <f>_xll.H_PT('[1]原则性热力系统--无高加'!$F$51,'[1]原则性热力系统--无高加'!$D$51)</f>
        <v>210.34310024561859</v>
      </c>
      <c r="I34" s="218" t="s">
        <v>1060</v>
      </c>
      <c r="J34" s="219">
        <f>F25+锅炉计算!G29</f>
        <v>0.05</v>
      </c>
      <c r="K34" s="211"/>
      <c r="M34" s="215"/>
      <c r="U34" s="208"/>
      <c r="V34" s="208">
        <f t="shared" si="0"/>
        <v>124.30000000000007</v>
      </c>
      <c r="W34" s="214">
        <v>559.70000000000005</v>
      </c>
      <c r="X34" s="214">
        <v>133</v>
      </c>
      <c r="Y34" s="208">
        <f t="shared" si="1"/>
        <v>29.299999999999997</v>
      </c>
      <c r="AA34" s="214">
        <v>2930.1</v>
      </c>
      <c r="AB34" s="208">
        <f t="shared" si="2"/>
        <v>175.90000000000009</v>
      </c>
    </row>
    <row r="35" spans="1:28" s="214" customFormat="1" ht="20.100000000000001" customHeight="1">
      <c r="A35" s="209" t="s">
        <v>1061</v>
      </c>
      <c r="B35" s="220">
        <v>158</v>
      </c>
      <c r="C35" s="211">
        <f>_xll.HL_T($B$35)</f>
        <v>666.88660543988476</v>
      </c>
      <c r="D35" s="212"/>
      <c r="E35" s="211"/>
      <c r="F35" s="229"/>
      <c r="G35" s="221">
        <v>0.58799999999999997</v>
      </c>
      <c r="H35" s="213">
        <v>0.08</v>
      </c>
      <c r="I35" s="211">
        <f>G35/(1-H35)</f>
        <v>0.63913043478260867</v>
      </c>
      <c r="J35" s="211">
        <f>_xll.H_PS($I$35,$F$8)</f>
        <v>2784.7049632221642</v>
      </c>
      <c r="K35" s="211">
        <f>(F26*J34*(C35-H34)+(F26-K32-K33-F26*J34)*(C35-C36)-(K32+K33)*(F33-C35)*0.98)/((J35-C35)*0.98+(C35-C36))</f>
        <v>18.924067570824338</v>
      </c>
      <c r="M35" s="215"/>
      <c r="U35" s="208"/>
      <c r="V35" s="208">
        <f t="shared" si="0"/>
        <v>84.199999999999989</v>
      </c>
      <c r="W35" s="214">
        <v>435.4</v>
      </c>
      <c r="X35" s="214">
        <v>103.7</v>
      </c>
      <c r="Y35" s="208">
        <f t="shared" si="1"/>
        <v>20.100000000000009</v>
      </c>
      <c r="AA35" s="214">
        <v>2754.2</v>
      </c>
      <c r="AB35" s="208">
        <f t="shared" si="2"/>
        <v>118.59999999999991</v>
      </c>
    </row>
    <row r="36" spans="1:28" s="214" customFormat="1" ht="20.100000000000001" customHeight="1">
      <c r="A36" s="209" t="s">
        <v>1062</v>
      </c>
      <c r="B36" s="216">
        <f>ROUND(B35-(B35-B38)/3,0)</f>
        <v>120</v>
      </c>
      <c r="C36" s="211">
        <f>C35-(C35-C38)/3</f>
        <v>505.67855576725356</v>
      </c>
      <c r="D36" s="212">
        <v>2.8</v>
      </c>
      <c r="E36" s="211">
        <f>B36+D36</f>
        <v>122.8</v>
      </c>
      <c r="F36" s="229">
        <f>_xll.HL_T($E$36)</f>
        <v>515.69400876810801</v>
      </c>
      <c r="G36" s="211">
        <f>_xll.P_T(E36)</f>
        <v>0.21693135193339991</v>
      </c>
      <c r="H36" s="213">
        <v>0.08</v>
      </c>
      <c r="I36" s="211">
        <f>G36/(1-H36)</f>
        <v>0.23579494775369556</v>
      </c>
      <c r="J36" s="211">
        <f>_xll.H_PS($I$36,$F$19)</f>
        <v>2604.0361292333741</v>
      </c>
      <c r="K36" s="211">
        <f>(F26-K35-K33-K32-J34*(F26))*(C36-C37)/(J36-F36)/0.98</f>
        <v>18.194231232360362</v>
      </c>
      <c r="M36" s="215"/>
      <c r="U36" s="208"/>
      <c r="V36" s="208">
        <f t="shared" si="0"/>
        <v>93.099999999999966</v>
      </c>
      <c r="W36" s="214">
        <v>351.2</v>
      </c>
      <c r="X36" s="214">
        <v>83.6</v>
      </c>
      <c r="Y36" s="208">
        <f t="shared" si="1"/>
        <v>22.199999999999996</v>
      </c>
      <c r="AA36" s="214">
        <v>2635.6</v>
      </c>
      <c r="AB36" s="208">
        <f t="shared" si="2"/>
        <v>127.5</v>
      </c>
    </row>
    <row r="37" spans="1:28" s="214" customFormat="1" ht="20.100000000000001" customHeight="1">
      <c r="A37" s="209" t="s">
        <v>1063</v>
      </c>
      <c r="B37" s="216">
        <f>ROUND(B36-(B35-B38)/3,0)</f>
        <v>82</v>
      </c>
      <c r="C37" s="211">
        <f>C36-(C35-C38)/3</f>
        <v>344.47050609462235</v>
      </c>
      <c r="D37" s="212">
        <v>2.8</v>
      </c>
      <c r="E37" s="211">
        <f>B37+D37</f>
        <v>84.8</v>
      </c>
      <c r="F37" s="229">
        <f>_xll.HL_T(E37)</f>
        <v>355.10572427774986</v>
      </c>
      <c r="G37" s="211">
        <f>_xll.P_T(E37)</f>
        <v>5.7415181346206337E-2</v>
      </c>
      <c r="H37" s="213">
        <v>0.08</v>
      </c>
      <c r="I37" s="211">
        <f>G37/(1-H37)</f>
        <v>6.2407805811093842E-2</v>
      </c>
      <c r="J37" s="211">
        <f>_xll.H_PS($I$37,$F$19)</f>
        <v>2394.8177144506244</v>
      </c>
      <c r="K37" s="211">
        <f>((F26-K35-K33-K32-J34*(F26))*(C37-C38)-0.98*K36*(F36-F37))/0.98/(J37-F37)</f>
        <v>17.195564481544512</v>
      </c>
      <c r="M37" s="215"/>
      <c r="U37" s="208"/>
      <c r="V37" s="208" t="e">
        <f>W37-#REF!</f>
        <v>#REF!</v>
      </c>
      <c r="W37" s="214">
        <v>258.10000000000002</v>
      </c>
      <c r="X37" s="214">
        <v>61.4</v>
      </c>
      <c r="Y37" s="208" t="e">
        <f>X37-#REF!</f>
        <v>#REF!</v>
      </c>
      <c r="AA37" s="214">
        <v>2508.1</v>
      </c>
      <c r="AB37" s="208" t="e">
        <f>AA37-#REF!</f>
        <v>#REF!</v>
      </c>
    </row>
    <row r="38" spans="1:28" s="214" customFormat="1" ht="20.100000000000001" customHeight="1">
      <c r="A38" s="209" t="s">
        <v>1064</v>
      </c>
      <c r="B38" s="216">
        <f>_xll.T_P('[1]原则性热力系统--无高加'!$G$55)</f>
        <v>43.761837194026782</v>
      </c>
      <c r="C38" s="211">
        <f>_xll.H_PT('[1]原则性热力系统--无高加'!$G$55,'[1]原则性热力系统--无高加'!$B$55)</f>
        <v>183.26245642199117</v>
      </c>
      <c r="D38" s="212"/>
      <c r="E38" s="216"/>
      <c r="F38" s="229"/>
      <c r="G38" s="212">
        <v>8.9999999999999993E-3</v>
      </c>
      <c r="H38" s="212"/>
      <c r="I38" s="212"/>
      <c r="J38" s="212"/>
      <c r="K38" s="212"/>
      <c r="L38" s="26"/>
    </row>
    <row r="39" spans="1:28" ht="20.100000000000001" customHeight="1">
      <c r="A39" s="377" t="s">
        <v>1065</v>
      </c>
      <c r="B39" s="377"/>
      <c r="C39" s="377"/>
      <c r="D39" s="377"/>
      <c r="E39" s="377"/>
      <c r="F39" s="377"/>
      <c r="G39" s="377"/>
      <c r="H39" s="377"/>
      <c r="I39" s="377"/>
      <c r="J39" s="377"/>
      <c r="K39" s="377"/>
    </row>
    <row r="40" spans="1:28" ht="20.100000000000001" customHeight="1">
      <c r="A40" s="377"/>
      <c r="B40" s="377"/>
      <c r="C40" s="377"/>
      <c r="D40" s="377"/>
      <c r="E40" s="377"/>
      <c r="F40" s="377"/>
      <c r="G40" s="377"/>
      <c r="H40" s="377"/>
      <c r="I40" s="377"/>
      <c r="J40" s="377"/>
      <c r="K40" s="377"/>
    </row>
    <row r="41" spans="1:28" ht="20.100000000000001" customHeight="1">
      <c r="A41" s="367" t="s">
        <v>1137</v>
      </c>
      <c r="B41" s="368"/>
      <c r="C41" s="368"/>
      <c r="D41" s="368"/>
      <c r="E41" s="368"/>
      <c r="F41" s="369"/>
    </row>
    <row r="42" spans="1:28" ht="20.100000000000001" customHeight="1">
      <c r="A42" s="184" t="s">
        <v>1066</v>
      </c>
      <c r="B42" s="185" t="s">
        <v>1067</v>
      </c>
      <c r="C42" s="185" t="s">
        <v>1068</v>
      </c>
      <c r="D42" s="185"/>
      <c r="E42" s="185" t="s">
        <v>865</v>
      </c>
      <c r="F42" s="186">
        <v>0.82</v>
      </c>
    </row>
    <row r="43" spans="1:28" ht="20.100000000000001" customHeight="1">
      <c r="A43" s="184" t="s">
        <v>152</v>
      </c>
      <c r="B43" s="185" t="s">
        <v>868</v>
      </c>
      <c r="C43" s="185" t="s">
        <v>869</v>
      </c>
      <c r="D43" s="185"/>
      <c r="E43" s="185" t="s">
        <v>867</v>
      </c>
      <c r="F43" s="186">
        <f>F3</f>
        <v>0.95</v>
      </c>
    </row>
    <row r="44" spans="1:28" ht="20.100000000000001" customHeight="1">
      <c r="A44" s="184" t="s">
        <v>156</v>
      </c>
      <c r="B44" s="185" t="s">
        <v>870</v>
      </c>
      <c r="C44" s="185" t="s">
        <v>871</v>
      </c>
      <c r="D44" s="185"/>
      <c r="E44" s="185" t="s">
        <v>867</v>
      </c>
      <c r="F44" s="186">
        <f>F4</f>
        <v>0.97299999999999998</v>
      </c>
    </row>
    <row r="45" spans="1:28" ht="20.100000000000001" customHeight="1">
      <c r="A45" s="184" t="s">
        <v>160</v>
      </c>
      <c r="B45" s="185" t="s">
        <v>1069</v>
      </c>
      <c r="C45" s="185"/>
      <c r="D45" s="187" t="s">
        <v>878</v>
      </c>
      <c r="E45" s="188" t="s">
        <v>873</v>
      </c>
      <c r="F45" s="182">
        <f>F5</f>
        <v>8.83</v>
      </c>
    </row>
    <row r="46" spans="1:28" ht="20.100000000000001" customHeight="1">
      <c r="A46" s="184" t="s">
        <v>164</v>
      </c>
      <c r="B46" s="190" t="s">
        <v>1070</v>
      </c>
      <c r="C46" s="185"/>
      <c r="D46" s="187" t="s">
        <v>1051</v>
      </c>
      <c r="E46" s="188" t="s">
        <v>1071</v>
      </c>
      <c r="F46" s="182">
        <f>F6</f>
        <v>540</v>
      </c>
    </row>
    <row r="47" spans="1:28" ht="20.100000000000001" customHeight="1">
      <c r="A47" s="184" t="s">
        <v>167</v>
      </c>
      <c r="B47" s="191" t="s">
        <v>1072</v>
      </c>
      <c r="C47" s="185" t="s">
        <v>1073</v>
      </c>
      <c r="D47" s="192" t="s">
        <v>874</v>
      </c>
      <c r="E47" s="193" t="s">
        <v>875</v>
      </c>
      <c r="F47" s="182">
        <f>F26</f>
        <v>300</v>
      </c>
    </row>
    <row r="48" spans="1:28">
      <c r="A48" s="184" t="s">
        <v>204</v>
      </c>
      <c r="B48" s="190" t="s">
        <v>1074</v>
      </c>
      <c r="C48" s="185"/>
      <c r="D48" s="187" t="s">
        <v>1075</v>
      </c>
      <c r="E48" s="188" t="s">
        <v>1076</v>
      </c>
      <c r="F48" s="182">
        <f>_xll.S_PT($F$45,$F$46)</f>
        <v>6.7965621973639525</v>
      </c>
    </row>
    <row r="49" spans="1:6">
      <c r="A49" s="184" t="s">
        <v>209</v>
      </c>
      <c r="B49" s="191" t="s">
        <v>1016</v>
      </c>
      <c r="C49" s="188" t="s">
        <v>1077</v>
      </c>
      <c r="D49" s="187" t="s">
        <v>1018</v>
      </c>
      <c r="E49" s="187" t="s">
        <v>1076</v>
      </c>
      <c r="F49" s="182">
        <f>_xll.H_PT($F$45,$F$46)</f>
        <v>3488.9820780514765</v>
      </c>
    </row>
    <row r="50" spans="1:6">
      <c r="A50" s="184" t="s">
        <v>212</v>
      </c>
      <c r="B50" s="28" t="s">
        <v>1078</v>
      </c>
      <c r="C50" s="28"/>
      <c r="D50" s="187" t="s">
        <v>872</v>
      </c>
      <c r="E50" s="28"/>
      <c r="F50" s="182">
        <f>I32</f>
        <v>2.4165983397810802</v>
      </c>
    </row>
    <row r="51" spans="1:6">
      <c r="A51" s="184" t="s">
        <v>216</v>
      </c>
      <c r="B51" s="198" t="s">
        <v>1074</v>
      </c>
      <c r="C51" s="188" t="s">
        <v>1079</v>
      </c>
      <c r="D51" s="187" t="s">
        <v>1075</v>
      </c>
      <c r="E51" s="187" t="s">
        <v>1080</v>
      </c>
      <c r="F51" s="182">
        <f>F48</f>
        <v>6.7965621973639525</v>
      </c>
    </row>
    <row r="52" spans="1:6">
      <c r="A52" s="184" t="s">
        <v>217</v>
      </c>
      <c r="B52" s="190" t="s">
        <v>1070</v>
      </c>
      <c r="C52" s="185"/>
      <c r="D52" s="187" t="s">
        <v>1051</v>
      </c>
      <c r="E52" s="187" t="s">
        <v>1076</v>
      </c>
      <c r="F52" s="182">
        <f>_xll.T_PS($F$50,$F$51)</f>
        <v>332.95203764991516</v>
      </c>
    </row>
    <row r="53" spans="1:6">
      <c r="A53" s="184" t="s">
        <v>219</v>
      </c>
      <c r="B53" s="198" t="s">
        <v>1016</v>
      </c>
      <c r="C53" s="188" t="s">
        <v>1081</v>
      </c>
      <c r="D53" s="187" t="s">
        <v>1018</v>
      </c>
      <c r="E53" s="187" t="s">
        <v>1076</v>
      </c>
      <c r="F53" s="182">
        <f>_xll.H_PS($F$50,$F$51)</f>
        <v>3089.6754159269049</v>
      </c>
    </row>
    <row r="54" spans="1:6">
      <c r="A54" s="184" t="s">
        <v>222</v>
      </c>
      <c r="B54" s="191" t="s">
        <v>1072</v>
      </c>
      <c r="C54" s="185" t="s">
        <v>1082</v>
      </c>
      <c r="D54" s="192" t="s">
        <v>874</v>
      </c>
      <c r="E54" s="28"/>
      <c r="F54" s="182">
        <f>K32</f>
        <v>18.010951273015337</v>
      </c>
    </row>
    <row r="55" spans="1:6">
      <c r="A55" s="184" t="s">
        <v>227</v>
      </c>
      <c r="B55" s="28" t="s">
        <v>1083</v>
      </c>
      <c r="C55" s="28" t="s">
        <v>1084</v>
      </c>
      <c r="D55" s="28" t="s">
        <v>1085</v>
      </c>
      <c r="E55" s="28"/>
      <c r="F55" s="225">
        <f>(F47)*(F49-F53)*F43*F44*F42/3.6</f>
        <v>25221.772730881261</v>
      </c>
    </row>
    <row r="56" spans="1:6">
      <c r="A56" s="184" t="s">
        <v>230</v>
      </c>
      <c r="B56" s="28" t="s">
        <v>1086</v>
      </c>
      <c r="C56" s="28"/>
      <c r="D56" s="187" t="s">
        <v>878</v>
      </c>
      <c r="E56" s="28"/>
      <c r="F56" s="182">
        <f>I33</f>
        <v>1.358180180064084</v>
      </c>
    </row>
    <row r="57" spans="1:6">
      <c r="A57" s="184" t="s">
        <v>231</v>
      </c>
      <c r="B57" s="198" t="s">
        <v>879</v>
      </c>
      <c r="C57" s="188" t="s">
        <v>880</v>
      </c>
      <c r="D57" s="187" t="s">
        <v>881</v>
      </c>
      <c r="E57" s="187" t="s">
        <v>882</v>
      </c>
      <c r="F57" s="182">
        <f>F51</f>
        <v>6.7965621973639525</v>
      </c>
    </row>
    <row r="58" spans="1:6">
      <c r="A58" s="184" t="s">
        <v>883</v>
      </c>
      <c r="B58" s="190" t="s">
        <v>903</v>
      </c>
      <c r="C58" s="185"/>
      <c r="D58" s="187" t="s">
        <v>900</v>
      </c>
      <c r="E58" s="187" t="s">
        <v>887</v>
      </c>
      <c r="F58" s="182">
        <f>_xll.T_PS($F$56,$F$57)</f>
        <v>257.14076205294816</v>
      </c>
    </row>
    <row r="59" spans="1:6">
      <c r="A59" s="184" t="s">
        <v>886</v>
      </c>
      <c r="B59" s="198" t="s">
        <v>884</v>
      </c>
      <c r="C59" s="188" t="s">
        <v>908</v>
      </c>
      <c r="D59" s="187" t="s">
        <v>885</v>
      </c>
      <c r="E59" s="187" t="s">
        <v>887</v>
      </c>
      <c r="F59" s="182">
        <f>_xll.H_PS($F$56,$F$57)</f>
        <v>2946.0587257209595</v>
      </c>
    </row>
    <row r="60" spans="1:6">
      <c r="A60" s="184" t="s">
        <v>888</v>
      </c>
      <c r="B60" s="191" t="s">
        <v>905</v>
      </c>
      <c r="C60" s="185" t="s">
        <v>910</v>
      </c>
      <c r="D60" s="192" t="s">
        <v>901</v>
      </c>
      <c r="E60" s="28"/>
      <c r="F60" s="182">
        <f>K33</f>
        <v>17.084804179898658</v>
      </c>
    </row>
    <row r="61" spans="1:6">
      <c r="A61" s="184" t="s">
        <v>892</v>
      </c>
      <c r="B61" s="28" t="s">
        <v>911</v>
      </c>
      <c r="C61" s="28" t="s">
        <v>889</v>
      </c>
      <c r="D61" s="28" t="s">
        <v>909</v>
      </c>
      <c r="E61" s="28"/>
      <c r="F61" s="225">
        <f>(F47-F54)*(F53-F59)*F44*F43*F42/3.6</f>
        <v>8526.777948658957</v>
      </c>
    </row>
    <row r="62" spans="1:6">
      <c r="A62" s="184" t="s">
        <v>895</v>
      </c>
      <c r="B62" s="28" t="s">
        <v>912</v>
      </c>
      <c r="C62" s="28"/>
      <c r="D62" s="187" t="s">
        <v>890</v>
      </c>
      <c r="E62" s="28"/>
      <c r="F62" s="182">
        <f>I35</f>
        <v>0.63913043478260867</v>
      </c>
    </row>
    <row r="63" spans="1:6">
      <c r="A63" s="184" t="s">
        <v>896</v>
      </c>
      <c r="B63" s="198" t="s">
        <v>876</v>
      </c>
      <c r="C63" s="188" t="s">
        <v>906</v>
      </c>
      <c r="D63" s="187" t="s">
        <v>877</v>
      </c>
      <c r="E63" s="187" t="s">
        <v>907</v>
      </c>
      <c r="F63" s="182">
        <f>F57</f>
        <v>6.7965621973639525</v>
      </c>
    </row>
    <row r="64" spans="1:6">
      <c r="A64" s="184" t="s">
        <v>897</v>
      </c>
      <c r="B64" s="190" t="s">
        <v>903</v>
      </c>
      <c r="C64" s="185"/>
      <c r="D64" s="187" t="s">
        <v>900</v>
      </c>
      <c r="E64" s="187" t="s">
        <v>887</v>
      </c>
      <c r="F64" s="182">
        <f>_xll.T_PS($F$62,$F$63)</f>
        <v>171.96343124301211</v>
      </c>
    </row>
    <row r="65" spans="1:6">
      <c r="A65" s="184" t="s">
        <v>898</v>
      </c>
      <c r="B65" s="198" t="s">
        <v>884</v>
      </c>
      <c r="C65" s="188" t="s">
        <v>908</v>
      </c>
      <c r="D65" s="187" t="s">
        <v>885</v>
      </c>
      <c r="E65" s="187" t="s">
        <v>887</v>
      </c>
      <c r="F65" s="182">
        <f>_xll.H_PS($F$62,$F$63)</f>
        <v>2784.7049632221642</v>
      </c>
    </row>
    <row r="66" spans="1:6">
      <c r="A66" s="184" t="s">
        <v>913</v>
      </c>
      <c r="B66" s="191" t="s">
        <v>905</v>
      </c>
      <c r="C66" s="185" t="s">
        <v>914</v>
      </c>
      <c r="D66" s="192" t="s">
        <v>901</v>
      </c>
      <c r="E66" s="28"/>
      <c r="F66" s="182">
        <f>K35</f>
        <v>18.924067570824338</v>
      </c>
    </row>
    <row r="67" spans="1:6">
      <c r="A67" s="184" t="s">
        <v>915</v>
      </c>
      <c r="B67" s="28" t="s">
        <v>916</v>
      </c>
      <c r="C67" s="28" t="s">
        <v>917</v>
      </c>
      <c r="D67" s="28" t="s">
        <v>909</v>
      </c>
      <c r="E67" s="28"/>
      <c r="F67" s="225">
        <f>(F47-F54-F60)*(F59-F65)*F44*F43*F42/3.6</f>
        <v>8999.4467398250254</v>
      </c>
    </row>
    <row r="68" spans="1:6" ht="15">
      <c r="A68" s="184" t="s">
        <v>918</v>
      </c>
      <c r="B68" s="236" t="s">
        <v>1129</v>
      </c>
      <c r="C68" s="196" t="s">
        <v>919</v>
      </c>
      <c r="D68" s="187" t="s">
        <v>890</v>
      </c>
      <c r="E68" s="187" t="s">
        <v>904</v>
      </c>
      <c r="F68" s="237">
        <f>F10</f>
        <v>0.2</v>
      </c>
    </row>
    <row r="69" spans="1:6">
      <c r="A69" s="184" t="s">
        <v>920</v>
      </c>
      <c r="B69" s="190" t="s">
        <v>903</v>
      </c>
      <c r="C69" s="185"/>
      <c r="D69" s="187" t="s">
        <v>900</v>
      </c>
      <c r="E69" s="188" t="s">
        <v>904</v>
      </c>
      <c r="F69" s="194">
        <f>F11</f>
        <v>120.21154916847178</v>
      </c>
    </row>
    <row r="70" spans="1:6">
      <c r="A70" s="184" t="s">
        <v>921</v>
      </c>
      <c r="B70" s="198" t="s">
        <v>876</v>
      </c>
      <c r="C70" s="188" t="s">
        <v>906</v>
      </c>
      <c r="D70" s="187" t="s">
        <v>877</v>
      </c>
      <c r="E70" s="187" t="s">
        <v>907</v>
      </c>
      <c r="F70" s="186">
        <f>F48</f>
        <v>6.7965621973639525</v>
      </c>
    </row>
    <row r="71" spans="1:6">
      <c r="A71" s="184" t="s">
        <v>922</v>
      </c>
      <c r="B71" s="198" t="s">
        <v>884</v>
      </c>
      <c r="C71" s="188" t="s">
        <v>908</v>
      </c>
      <c r="D71" s="187" t="s">
        <v>885</v>
      </c>
      <c r="E71" s="187" t="s">
        <v>923</v>
      </c>
      <c r="F71" s="186">
        <f>F18</f>
        <v>2576.315831975322</v>
      </c>
    </row>
    <row r="72" spans="1:6" ht="14.25">
      <c r="A72" s="184" t="s">
        <v>924</v>
      </c>
      <c r="B72" s="191" t="s">
        <v>905</v>
      </c>
      <c r="C72" s="185" t="s">
        <v>925</v>
      </c>
      <c r="D72" s="192" t="s">
        <v>901</v>
      </c>
      <c r="E72" s="187"/>
      <c r="F72" s="222">
        <f>F15</f>
        <v>130</v>
      </c>
    </row>
    <row r="73" spans="1:6" ht="14.25">
      <c r="A73" s="184" t="s">
        <v>926</v>
      </c>
      <c r="B73" s="28" t="s">
        <v>1130</v>
      </c>
      <c r="C73" s="28" t="s">
        <v>927</v>
      </c>
      <c r="D73" s="28" t="s">
        <v>909</v>
      </c>
      <c r="E73" s="28"/>
      <c r="F73" s="231">
        <f>(F47-F54-F60-F66)*(F65-F71)*F43*F44*F42/3.6</f>
        <v>10792.522704012579</v>
      </c>
    </row>
    <row r="74" spans="1:6">
      <c r="A74" s="184" t="s">
        <v>928</v>
      </c>
      <c r="B74" s="28" t="s">
        <v>929</v>
      </c>
      <c r="C74" s="28"/>
      <c r="D74" s="187" t="s">
        <v>890</v>
      </c>
      <c r="E74" s="28"/>
      <c r="F74" s="182">
        <f>I36</f>
        <v>0.23579494775369556</v>
      </c>
    </row>
    <row r="75" spans="1:6">
      <c r="A75" s="184" t="s">
        <v>930</v>
      </c>
      <c r="B75" s="198" t="s">
        <v>876</v>
      </c>
      <c r="C75" s="188" t="s">
        <v>906</v>
      </c>
      <c r="D75" s="187" t="s">
        <v>877</v>
      </c>
      <c r="E75" s="187" t="s">
        <v>907</v>
      </c>
      <c r="F75" s="182">
        <f>F63</f>
        <v>6.7965621973639525</v>
      </c>
    </row>
    <row r="76" spans="1:6">
      <c r="A76" s="184" t="s">
        <v>931</v>
      </c>
      <c r="B76" s="190" t="s">
        <v>903</v>
      </c>
      <c r="C76" s="185"/>
      <c r="D76" s="187" t="s">
        <v>900</v>
      </c>
      <c r="E76" s="187" t="s">
        <v>887</v>
      </c>
      <c r="F76" s="182">
        <f>_xll.T_PS($F$74,$F$75)</f>
        <v>125.49662697233066</v>
      </c>
    </row>
    <row r="77" spans="1:6">
      <c r="A77" s="184" t="s">
        <v>932</v>
      </c>
      <c r="B77" s="198" t="s">
        <v>884</v>
      </c>
      <c r="C77" s="188" t="s">
        <v>908</v>
      </c>
      <c r="D77" s="187" t="s">
        <v>885</v>
      </c>
      <c r="E77" s="187" t="s">
        <v>887</v>
      </c>
      <c r="F77" s="182">
        <f>_xll.H_PS($F$74,$F$75)</f>
        <v>2604.0361292333741</v>
      </c>
    </row>
    <row r="78" spans="1:6">
      <c r="A78" s="184" t="s">
        <v>933</v>
      </c>
      <c r="B78" s="191" t="s">
        <v>905</v>
      </c>
      <c r="C78" s="185" t="s">
        <v>934</v>
      </c>
      <c r="D78" s="192" t="s">
        <v>901</v>
      </c>
      <c r="E78" s="28"/>
      <c r="F78" s="182">
        <f>K36</f>
        <v>18.194231232360362</v>
      </c>
    </row>
    <row r="79" spans="1:6">
      <c r="A79" s="184" t="s">
        <v>935</v>
      </c>
      <c r="B79" s="28" t="s">
        <v>1135</v>
      </c>
      <c r="C79" s="28" t="s">
        <v>936</v>
      </c>
      <c r="D79" s="28" t="s">
        <v>909</v>
      </c>
      <c r="E79" s="28"/>
      <c r="F79" s="225">
        <f>(F47-F72-F54-F60-F66)*(F71-F77)*F43*F44*F42/3.6</f>
        <v>-676.90768918271908</v>
      </c>
    </row>
    <row r="80" spans="1:6">
      <c r="A80" s="184" t="s">
        <v>937</v>
      </c>
      <c r="B80" s="28" t="s">
        <v>938</v>
      </c>
      <c r="C80" s="28"/>
      <c r="D80" s="187" t="s">
        <v>890</v>
      </c>
      <c r="E80" s="28"/>
      <c r="F80" s="182">
        <f>I37</f>
        <v>6.2407805811093842E-2</v>
      </c>
    </row>
    <row r="81" spans="1:13">
      <c r="A81" s="184" t="s">
        <v>939</v>
      </c>
      <c r="B81" s="198" t="s">
        <v>876</v>
      </c>
      <c r="C81" s="188" t="s">
        <v>906</v>
      </c>
      <c r="D81" s="187" t="s">
        <v>877</v>
      </c>
      <c r="E81" s="187" t="s">
        <v>907</v>
      </c>
      <c r="F81" s="182">
        <f>F63</f>
        <v>6.7965621973639525</v>
      </c>
    </row>
    <row r="82" spans="1:13">
      <c r="A82" s="184" t="s">
        <v>940</v>
      </c>
      <c r="B82" s="190" t="s">
        <v>903</v>
      </c>
      <c r="C82" s="185"/>
      <c r="D82" s="187" t="s">
        <v>900</v>
      </c>
      <c r="E82" s="187" t="s">
        <v>887</v>
      </c>
      <c r="F82" s="182">
        <f>_xll.T_PS($F$80,$F$81)</f>
        <v>86.938557955524118</v>
      </c>
    </row>
    <row r="83" spans="1:13">
      <c r="A83" s="184" t="s">
        <v>941</v>
      </c>
      <c r="B83" s="198" t="s">
        <v>884</v>
      </c>
      <c r="C83" s="188" t="s">
        <v>908</v>
      </c>
      <c r="D83" s="187" t="s">
        <v>885</v>
      </c>
      <c r="E83" s="187" t="s">
        <v>887</v>
      </c>
      <c r="F83" s="182">
        <f>_xll.H_PS($F$80,$F$81)</f>
        <v>2394.8177144506244</v>
      </c>
    </row>
    <row r="84" spans="1:13">
      <c r="A84" s="184" t="s">
        <v>942</v>
      </c>
      <c r="B84" s="191" t="s">
        <v>905</v>
      </c>
      <c r="C84" s="185" t="s">
        <v>934</v>
      </c>
      <c r="D84" s="192" t="s">
        <v>901</v>
      </c>
      <c r="E84" s="28"/>
      <c r="F84" s="182">
        <f>K37</f>
        <v>17.195564481544512</v>
      </c>
    </row>
    <row r="85" spans="1:13">
      <c r="A85" s="184" t="s">
        <v>943</v>
      </c>
      <c r="B85" s="28" t="s">
        <v>944</v>
      </c>
      <c r="C85" s="28" t="s">
        <v>945</v>
      </c>
      <c r="D85" s="28" t="s">
        <v>909</v>
      </c>
      <c r="E85" s="28"/>
      <c r="F85" s="225">
        <f>(F47-F72-F54-F60-F66-F78)*(F77-F83)*F43*F44*F42/3.6</f>
        <v>4307.4886798340131</v>
      </c>
    </row>
    <row r="86" spans="1:13">
      <c r="A86" s="184" t="s">
        <v>946</v>
      </c>
      <c r="B86" s="191" t="s">
        <v>1132</v>
      </c>
      <c r="C86" s="188" t="s">
        <v>889</v>
      </c>
      <c r="D86" s="192" t="s">
        <v>890</v>
      </c>
      <c r="E86" s="187" t="s">
        <v>891</v>
      </c>
      <c r="F86" s="306">
        <v>5.0000000000000001E-3</v>
      </c>
      <c r="H86" s="223"/>
    </row>
    <row r="87" spans="1:13">
      <c r="A87" s="184" t="s">
        <v>947</v>
      </c>
      <c r="B87" s="198" t="s">
        <v>876</v>
      </c>
      <c r="C87" s="188" t="s">
        <v>906</v>
      </c>
      <c r="D87" s="187" t="s">
        <v>877</v>
      </c>
      <c r="E87" s="187" t="s">
        <v>907</v>
      </c>
      <c r="F87" s="182">
        <f>F75</f>
        <v>6.7965621973639525</v>
      </c>
    </row>
    <row r="88" spans="1:13">
      <c r="A88" s="184" t="s">
        <v>948</v>
      </c>
      <c r="B88" s="191" t="s">
        <v>884</v>
      </c>
      <c r="C88" s="188" t="s">
        <v>893</v>
      </c>
      <c r="D88" s="187" t="s">
        <v>885</v>
      </c>
      <c r="E88" s="187" t="s">
        <v>894</v>
      </c>
      <c r="F88" s="186">
        <f>_xll.H_PS($F$86,$F$87)</f>
        <v>2071.935779429929</v>
      </c>
    </row>
    <row r="89" spans="1:13">
      <c r="A89" s="184" t="s">
        <v>949</v>
      </c>
      <c r="B89" s="191" t="s">
        <v>950</v>
      </c>
      <c r="C89" s="188" t="s">
        <v>951</v>
      </c>
      <c r="D89" s="187" t="s">
        <v>952</v>
      </c>
      <c r="E89" s="187"/>
      <c r="F89" s="186">
        <f>F83-(F83-F88)*F42</f>
        <v>2130.0545277336541</v>
      </c>
    </row>
    <row r="90" spans="1:13">
      <c r="A90" s="184" t="s">
        <v>953</v>
      </c>
      <c r="B90" s="191" t="s">
        <v>954</v>
      </c>
      <c r="C90" s="188" t="s">
        <v>955</v>
      </c>
      <c r="D90" s="187" t="s">
        <v>885</v>
      </c>
      <c r="E90" s="188" t="s">
        <v>887</v>
      </c>
      <c r="F90" s="186">
        <f>_xll.HG_P(F86)</f>
        <v>2560.7651042009634</v>
      </c>
    </row>
    <row r="91" spans="1:13">
      <c r="A91" s="184" t="s">
        <v>956</v>
      </c>
      <c r="B91" s="191" t="s">
        <v>899</v>
      </c>
      <c r="C91" s="188" t="s">
        <v>957</v>
      </c>
      <c r="D91" s="187" t="s">
        <v>885</v>
      </c>
      <c r="E91" s="188" t="s">
        <v>887</v>
      </c>
      <c r="F91" s="186">
        <f>_xll.HL_P(F86)</f>
        <v>137.76511893654626</v>
      </c>
    </row>
    <row r="92" spans="1:13">
      <c r="A92" s="184" t="s">
        <v>958</v>
      </c>
      <c r="B92" s="191" t="s">
        <v>959</v>
      </c>
      <c r="C92" s="188" t="s">
        <v>960</v>
      </c>
      <c r="D92" s="187"/>
      <c r="E92" s="187" t="s">
        <v>1131</v>
      </c>
      <c r="F92" s="239">
        <f>1-(F89-F91)/(F90-F91)</f>
        <v>0.17775921547119067</v>
      </c>
    </row>
    <row r="93" spans="1:13" ht="14.25">
      <c r="A93" s="184" t="s">
        <v>961</v>
      </c>
      <c r="B93" s="191" t="s">
        <v>905</v>
      </c>
      <c r="C93" s="185" t="s">
        <v>934</v>
      </c>
      <c r="D93" s="192" t="s">
        <v>901</v>
      </c>
      <c r="E93" s="37" t="s">
        <v>962</v>
      </c>
      <c r="F93" s="186">
        <f>F47-F54-F60-F66+F72-F78-F84</f>
        <v>340.59038126235674</v>
      </c>
    </row>
    <row r="94" spans="1:13">
      <c r="A94" s="184" t="s">
        <v>963</v>
      </c>
      <c r="B94" s="28" t="s">
        <v>964</v>
      </c>
      <c r="C94" s="28" t="s">
        <v>1087</v>
      </c>
      <c r="D94" s="28" t="s">
        <v>909</v>
      </c>
      <c r="E94" s="28"/>
      <c r="F94" s="225">
        <f>(F47-F72-F54-F60-F66-F78-F84)*(F83-F89)*F43*F44*F42/3.6</f>
        <v>4492.5053937579469</v>
      </c>
      <c r="L94" s="33"/>
      <c r="M94" s="33"/>
    </row>
    <row r="95" spans="1:13" ht="14.25">
      <c r="A95" s="184" t="s">
        <v>965</v>
      </c>
      <c r="B95" s="28" t="s">
        <v>1088</v>
      </c>
      <c r="C95" s="28"/>
      <c r="D95" s="28"/>
      <c r="E95" s="28"/>
      <c r="F95" s="232">
        <f>(F94+F85+F79+F67+F61+F55+F73)</f>
        <v>61663.606507787059</v>
      </c>
    </row>
    <row r="96" spans="1:13">
      <c r="A96" s="184" t="s">
        <v>966</v>
      </c>
      <c r="B96" s="28" t="s">
        <v>1089</v>
      </c>
      <c r="C96" s="28"/>
      <c r="D96" s="28"/>
      <c r="E96" s="28" t="s">
        <v>1090</v>
      </c>
      <c r="F96" s="238">
        <f>(F95-F24*1000)/F24/1000</f>
        <v>-0.15529306153716357</v>
      </c>
      <c r="G96" s="224"/>
    </row>
    <row r="97" spans="1:8">
      <c r="A97" s="367" t="s">
        <v>1138</v>
      </c>
      <c r="B97" s="368"/>
      <c r="C97" s="368"/>
      <c r="D97" s="368"/>
      <c r="E97" s="368"/>
      <c r="F97" s="369"/>
    </row>
    <row r="98" spans="1:8">
      <c r="A98" s="184" t="s">
        <v>152</v>
      </c>
      <c r="B98" s="202" t="s">
        <v>1134</v>
      </c>
      <c r="C98" s="202" t="s">
        <v>1091</v>
      </c>
      <c r="D98" s="28" t="s">
        <v>1092</v>
      </c>
      <c r="E98" s="28" t="s">
        <v>1136</v>
      </c>
      <c r="F98" s="182">
        <f>(F7*1000*(锅炉计算!G22-锅炉计算!G26)+锅炉计算!G29*F7*1000*(锅炉计算!G24-锅炉计算!G26))/锅炉计算!G27/1000</f>
        <v>415814.34278876305</v>
      </c>
    </row>
    <row r="99" spans="1:8">
      <c r="A99" s="184" t="s">
        <v>156</v>
      </c>
      <c r="B99" s="191" t="s">
        <v>1133</v>
      </c>
      <c r="C99" s="191" t="s">
        <v>1093</v>
      </c>
      <c r="D99" s="307" t="s">
        <v>1094</v>
      </c>
      <c r="E99" s="191"/>
      <c r="F99" s="182">
        <f>(F98*1000)/F95</f>
        <v>6743.2699178283192</v>
      </c>
    </row>
    <row r="100" spans="1:8">
      <c r="A100" s="184" t="s">
        <v>160</v>
      </c>
      <c r="B100" s="191" t="s">
        <v>1095</v>
      </c>
      <c r="C100" s="191" t="s">
        <v>1096</v>
      </c>
      <c r="D100" s="191" t="s">
        <v>1097</v>
      </c>
      <c r="E100" s="191"/>
      <c r="F100" s="233">
        <f>(F7)*1000/F95</f>
        <v>2.1082127264739734</v>
      </c>
    </row>
    <row r="101" spans="1:8">
      <c r="A101" s="184" t="s">
        <v>164</v>
      </c>
      <c r="B101" s="191" t="s">
        <v>1098</v>
      </c>
      <c r="C101" s="191" t="s">
        <v>1099</v>
      </c>
      <c r="D101" s="191" t="s">
        <v>1100</v>
      </c>
      <c r="E101" s="28" t="s">
        <v>1101</v>
      </c>
      <c r="F101" s="182">
        <f>F98*1000/29308</f>
        <v>14187.742008624371</v>
      </c>
    </row>
    <row r="102" spans="1:8">
      <c r="A102" s="184" t="s">
        <v>167</v>
      </c>
      <c r="B102" s="191" t="s">
        <v>1102</v>
      </c>
      <c r="C102" s="191" t="s">
        <v>1103</v>
      </c>
      <c r="D102" s="191" t="s">
        <v>1097</v>
      </c>
      <c r="E102" s="28"/>
      <c r="F102" s="182">
        <f>F101/F95</f>
        <v>0.23008290971162548</v>
      </c>
    </row>
    <row r="103" spans="1:8">
      <c r="A103" s="184" t="s">
        <v>204</v>
      </c>
      <c r="B103" s="191" t="s">
        <v>1104</v>
      </c>
      <c r="C103" s="191" t="s">
        <v>1105</v>
      </c>
      <c r="D103" s="191"/>
      <c r="E103" s="28" t="s">
        <v>1106</v>
      </c>
      <c r="F103" s="233">
        <f>3600/F99</f>
        <v>0.53386562363195245</v>
      </c>
    </row>
    <row r="104" spans="1:8">
      <c r="A104" s="184" t="s">
        <v>209</v>
      </c>
      <c r="B104" s="191" t="s">
        <v>1107</v>
      </c>
      <c r="C104" s="191" t="s">
        <v>1108</v>
      </c>
      <c r="D104" s="191" t="s">
        <v>1109</v>
      </c>
      <c r="E104" s="28" t="s">
        <v>902</v>
      </c>
      <c r="F104" s="234">
        <v>8000</v>
      </c>
    </row>
    <row r="105" spans="1:8" ht="16.5">
      <c r="A105" s="184" t="s">
        <v>212</v>
      </c>
      <c r="B105" s="191" t="s">
        <v>1110</v>
      </c>
      <c r="C105" s="191"/>
      <c r="D105" s="191" t="s">
        <v>1111</v>
      </c>
      <c r="E105" s="28"/>
      <c r="F105" s="233">
        <f>F104*F95/10000</f>
        <v>49330.885206229643</v>
      </c>
    </row>
    <row r="106" spans="1:8">
      <c r="A106" s="184" t="s">
        <v>216</v>
      </c>
      <c r="B106" s="191" t="s">
        <v>1112</v>
      </c>
      <c r="C106" s="191"/>
      <c r="D106" s="191" t="s">
        <v>1113</v>
      </c>
      <c r="E106" s="28" t="s">
        <v>902</v>
      </c>
      <c r="F106" s="234">
        <f>F105*F107</f>
        <v>4933.088520622965</v>
      </c>
      <c r="H106" s="33"/>
    </row>
    <row r="107" spans="1:8">
      <c r="A107" s="184" t="s">
        <v>217</v>
      </c>
      <c r="B107" s="191" t="s">
        <v>1114</v>
      </c>
      <c r="C107" s="191"/>
      <c r="D107" s="191" t="s">
        <v>1115</v>
      </c>
      <c r="E107" s="28"/>
      <c r="F107" s="233">
        <v>0.1</v>
      </c>
    </row>
    <row r="108" spans="1:8" ht="16.5">
      <c r="A108" s="184" t="s">
        <v>219</v>
      </c>
      <c r="B108" s="191" t="s">
        <v>1116</v>
      </c>
      <c r="C108" s="191"/>
      <c r="D108" s="191" t="s">
        <v>1111</v>
      </c>
      <c r="E108" s="28"/>
      <c r="F108" s="233">
        <f>F105-F106</f>
        <v>44397.796685606678</v>
      </c>
    </row>
    <row r="109" spans="1:8">
      <c r="A109" s="184" t="s">
        <v>222</v>
      </c>
      <c r="B109" s="191" t="s">
        <v>1117</v>
      </c>
      <c r="C109" s="191" t="s">
        <v>1118</v>
      </c>
      <c r="D109" s="191" t="s">
        <v>1119</v>
      </c>
      <c r="E109" s="28" t="s">
        <v>1120</v>
      </c>
      <c r="F109" s="225">
        <f>0.404*F108/1000</f>
        <v>17.936709860985097</v>
      </c>
    </row>
    <row r="110" spans="1:8">
      <c r="A110" s="184" t="s">
        <v>227</v>
      </c>
      <c r="B110" s="191" t="s">
        <v>1117</v>
      </c>
      <c r="C110" s="191" t="s">
        <v>1121</v>
      </c>
      <c r="D110" s="191" t="s">
        <v>1119</v>
      </c>
      <c r="E110" s="28" t="s">
        <v>1122</v>
      </c>
      <c r="F110" s="225">
        <f>F108*0.1229/1000</f>
        <v>5.4564892126610607</v>
      </c>
    </row>
    <row r="111" spans="1:8">
      <c r="A111" s="184" t="s">
        <v>230</v>
      </c>
      <c r="B111" s="191" t="s">
        <v>1117</v>
      </c>
      <c r="C111" s="191" t="s">
        <v>1123</v>
      </c>
      <c r="D111" s="191" t="s">
        <v>1119</v>
      </c>
      <c r="E111" s="28" t="s">
        <v>1124</v>
      </c>
      <c r="F111" s="225">
        <f>F108*360/1000/1000</f>
        <v>15.983206806818403</v>
      </c>
    </row>
  </sheetData>
  <mergeCells count="6">
    <mergeCell ref="A97:F97"/>
    <mergeCell ref="A1:F1"/>
    <mergeCell ref="A27:K27"/>
    <mergeCell ref="A28:K28"/>
    <mergeCell ref="A39:K40"/>
    <mergeCell ref="A41:F41"/>
  </mergeCells>
  <phoneticPr fontId="1" type="noConversion"/>
  <pageMargins left="0.7" right="0.7" top="0.75" bottom="0.75" header="0.3" footer="0.3"/>
  <pageSetup paperSize="9" orientation="portrait" verticalDpi="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143"/>
  <sheetViews>
    <sheetView topLeftCell="A7" workbookViewId="0">
      <selection activeCell="H10" sqref="H10"/>
    </sheetView>
  </sheetViews>
  <sheetFormatPr defaultRowHeight="14.25"/>
  <cols>
    <col min="1" max="1" width="9" style="414"/>
    <col min="2" max="2" width="23.625" style="414" customWidth="1"/>
    <col min="3" max="4" width="9" style="414"/>
    <col min="5" max="5" width="22.375" style="414" customWidth="1"/>
    <col min="6" max="6" width="13.125" style="414" bestFit="1" customWidth="1"/>
    <col min="7" max="7" width="27.625" style="414" customWidth="1"/>
    <col min="8" max="8" width="18.75" style="414" customWidth="1"/>
    <col min="9" max="16384" width="9" style="414"/>
  </cols>
  <sheetData>
    <row r="1" spans="1:8">
      <c r="A1" s="427" t="s">
        <v>1615</v>
      </c>
    </row>
    <row r="2" spans="1:8" ht="14.25" customHeight="1">
      <c r="A2" s="423" t="s">
        <v>148</v>
      </c>
      <c r="B2" s="428" t="s">
        <v>1616</v>
      </c>
      <c r="C2" s="428"/>
      <c r="D2" s="452" t="s">
        <v>1617</v>
      </c>
      <c r="E2" s="429" t="e">
        <f>[2]烟、风量计算!AJ93*#REF!</f>
        <v>#REF!</v>
      </c>
    </row>
    <row r="3" spans="1:8">
      <c r="A3" s="423" t="s">
        <v>152</v>
      </c>
      <c r="B3" s="428" t="s">
        <v>1618</v>
      </c>
      <c r="C3" s="428"/>
      <c r="D3" s="452" t="s">
        <v>1619</v>
      </c>
      <c r="E3" s="429">
        <v>150</v>
      </c>
    </row>
    <row r="4" spans="1:8">
      <c r="A4" s="423" t="s">
        <v>156</v>
      </c>
      <c r="B4" s="428" t="s">
        <v>1620</v>
      </c>
      <c r="C4" s="428"/>
      <c r="D4" s="452" t="s">
        <v>1621</v>
      </c>
      <c r="E4" s="436" t="e">
        <f>E2*(273+E3)/273</f>
        <v>#REF!</v>
      </c>
    </row>
    <row r="5" spans="1:8">
      <c r="A5" s="423" t="s">
        <v>160</v>
      </c>
      <c r="B5" s="428" t="s">
        <v>1622</v>
      </c>
      <c r="C5" s="428"/>
      <c r="D5" s="428" t="s">
        <v>1623</v>
      </c>
      <c r="E5" s="453">
        <v>7</v>
      </c>
    </row>
    <row r="6" spans="1:8">
      <c r="A6" s="423" t="s">
        <v>164</v>
      </c>
      <c r="B6" s="428" t="s">
        <v>1624</v>
      </c>
      <c r="C6" s="428"/>
      <c r="D6" s="428" t="s">
        <v>1625</v>
      </c>
      <c r="E6" s="454" t="e">
        <f>E4/E5/3600</f>
        <v>#REF!</v>
      </c>
    </row>
    <row r="7" spans="1:8">
      <c r="A7" s="423" t="s">
        <v>167</v>
      </c>
      <c r="B7" s="428" t="s">
        <v>1626</v>
      </c>
      <c r="C7" s="428"/>
      <c r="D7" s="428" t="s">
        <v>1625</v>
      </c>
      <c r="E7" s="432">
        <v>0.4</v>
      </c>
    </row>
    <row r="8" spans="1:8">
      <c r="A8" s="423" t="s">
        <v>204</v>
      </c>
      <c r="B8" s="428" t="s">
        <v>1627</v>
      </c>
      <c r="C8" s="428"/>
      <c r="D8" s="428" t="s">
        <v>1625</v>
      </c>
      <c r="E8" s="454" t="e">
        <f>E6/E7</f>
        <v>#REF!</v>
      </c>
    </row>
    <row r="9" spans="1:8">
      <c r="A9" s="423" t="s">
        <v>209</v>
      </c>
      <c r="B9" s="428" t="s">
        <v>1628</v>
      </c>
      <c r="C9" s="428"/>
      <c r="D9" s="428" t="s">
        <v>1629</v>
      </c>
      <c r="E9" s="432">
        <v>6</v>
      </c>
    </row>
    <row r="10" spans="1:8">
      <c r="A10" s="423" t="s">
        <v>212</v>
      </c>
      <c r="B10" s="428" t="s">
        <v>1630</v>
      </c>
      <c r="C10" s="428"/>
      <c r="D10" s="428" t="s">
        <v>1629</v>
      </c>
      <c r="E10" s="455" t="e">
        <f>E8/E9</f>
        <v>#REF!</v>
      </c>
    </row>
    <row r="12" spans="1:8">
      <c r="A12" s="427" t="s">
        <v>1631</v>
      </c>
    </row>
    <row r="13" spans="1:8" ht="14.25" customHeight="1">
      <c r="A13" s="423"/>
      <c r="B13" s="423" t="s">
        <v>1632</v>
      </c>
      <c r="C13" s="423" t="s">
        <v>1633</v>
      </c>
      <c r="D13" s="423" t="s">
        <v>1634</v>
      </c>
      <c r="E13" s="423" t="s">
        <v>1635</v>
      </c>
      <c r="F13" s="423" t="s">
        <v>1636</v>
      </c>
    </row>
    <row r="14" spans="1:8">
      <c r="A14" s="423" t="s">
        <v>148</v>
      </c>
      <c r="B14" s="456" t="s">
        <v>1637</v>
      </c>
      <c r="C14" s="457" t="s">
        <v>1638</v>
      </c>
      <c r="D14" s="457" t="s">
        <v>1639</v>
      </c>
      <c r="E14" s="456" t="s">
        <v>1640</v>
      </c>
      <c r="F14" s="458">
        <v>220</v>
      </c>
      <c r="G14" s="525" t="s">
        <v>1935</v>
      </c>
    </row>
    <row r="15" spans="1:8">
      <c r="A15" s="423" t="s">
        <v>152</v>
      </c>
      <c r="B15" s="456" t="s">
        <v>1641</v>
      </c>
      <c r="C15" s="457" t="s">
        <v>1642</v>
      </c>
      <c r="D15" s="457" t="s">
        <v>1643</v>
      </c>
      <c r="E15" s="456" t="s">
        <v>1644</v>
      </c>
      <c r="F15" s="460">
        <v>1</v>
      </c>
      <c r="G15" s="459" t="s">
        <v>1645</v>
      </c>
    </row>
    <row r="16" spans="1:8">
      <c r="A16" s="423" t="s">
        <v>156</v>
      </c>
      <c r="B16" s="456" t="s">
        <v>1646</v>
      </c>
      <c r="C16" s="457" t="s">
        <v>1647</v>
      </c>
      <c r="D16" s="457" t="s">
        <v>1648</v>
      </c>
      <c r="E16" s="456" t="s">
        <v>1649</v>
      </c>
      <c r="F16" s="461">
        <v>1E-3</v>
      </c>
      <c r="G16" s="459" t="s">
        <v>1645</v>
      </c>
      <c r="H16" s="462" t="s">
        <v>1650</v>
      </c>
    </row>
    <row r="17" spans="1:7">
      <c r="A17" s="423" t="s">
        <v>160</v>
      </c>
      <c r="B17" s="456" t="s">
        <v>1651</v>
      </c>
      <c r="C17" s="457" t="s">
        <v>1652</v>
      </c>
      <c r="D17" s="457" t="s">
        <v>1653</v>
      </c>
      <c r="E17" s="456" t="s">
        <v>1654</v>
      </c>
      <c r="F17" s="463">
        <f>F14*1000*F16</f>
        <v>220</v>
      </c>
      <c r="G17" s="464" t="s">
        <v>1655</v>
      </c>
    </row>
    <row r="18" spans="1:7">
      <c r="A18" s="423" t="s">
        <v>164</v>
      </c>
      <c r="B18" s="456" t="s">
        <v>1656</v>
      </c>
      <c r="C18" s="457" t="s">
        <v>1657</v>
      </c>
      <c r="D18" s="457" t="s">
        <v>1658</v>
      </c>
      <c r="E18" s="456"/>
      <c r="F18" s="463">
        <v>16</v>
      </c>
      <c r="G18" s="525" t="s">
        <v>1935</v>
      </c>
    </row>
    <row r="19" spans="1:7" ht="18.75">
      <c r="A19" s="423" t="s">
        <v>167</v>
      </c>
      <c r="B19" s="466" t="s">
        <v>1659</v>
      </c>
      <c r="C19" s="457" t="s">
        <v>1660</v>
      </c>
      <c r="D19" s="457" t="s">
        <v>1661</v>
      </c>
      <c r="E19" s="456" t="s">
        <v>1656</v>
      </c>
      <c r="F19" s="463" t="e">
        <f ca="1">_xll.HL_P($F$18)</f>
        <v>#NAME?</v>
      </c>
      <c r="G19" s="467" t="s">
        <v>1662</v>
      </c>
    </row>
    <row r="20" spans="1:7" ht="24">
      <c r="A20" s="423" t="s">
        <v>204</v>
      </c>
      <c r="B20" s="466" t="s">
        <v>1663</v>
      </c>
      <c r="C20" s="457"/>
      <c r="D20" s="457"/>
      <c r="E20" s="466" t="s">
        <v>1664</v>
      </c>
      <c r="F20" s="463">
        <v>0.15</v>
      </c>
      <c r="G20" s="465" t="s">
        <v>1645</v>
      </c>
    </row>
    <row r="21" spans="1:7">
      <c r="A21" s="423" t="s">
        <v>209</v>
      </c>
      <c r="B21" s="466" t="s">
        <v>1665</v>
      </c>
      <c r="C21" s="457" t="s">
        <v>1666</v>
      </c>
      <c r="D21" s="457" t="s">
        <v>1667</v>
      </c>
      <c r="E21" s="466"/>
      <c r="F21" s="463" t="e">
        <f ca="1">_xll.HL_P(F20)</f>
        <v>#NAME?</v>
      </c>
      <c r="G21" s="467" t="s">
        <v>1668</v>
      </c>
    </row>
    <row r="22" spans="1:7">
      <c r="A22" s="423" t="s">
        <v>1933</v>
      </c>
      <c r="B22" s="466" t="s">
        <v>1669</v>
      </c>
      <c r="C22" s="457" t="s">
        <v>1670</v>
      </c>
      <c r="D22" s="457" t="s">
        <v>1667</v>
      </c>
      <c r="E22" s="456" t="s">
        <v>1671</v>
      </c>
      <c r="F22" s="463" t="e">
        <f ca="1">_xll.HG_P(F20)-F21</f>
        <v>#NAME?</v>
      </c>
      <c r="G22" s="467" t="s">
        <v>1668</v>
      </c>
    </row>
    <row r="23" spans="1:7">
      <c r="A23" s="423" t="s">
        <v>216</v>
      </c>
      <c r="B23" s="466" t="s">
        <v>1672</v>
      </c>
      <c r="C23" s="457" t="s">
        <v>1673</v>
      </c>
      <c r="D23" s="457" t="s">
        <v>1674</v>
      </c>
      <c r="E23" s="456">
        <v>2000</v>
      </c>
      <c r="F23" s="468">
        <v>2000</v>
      </c>
      <c r="G23" s="465" t="s">
        <v>1928</v>
      </c>
    </row>
    <row r="24" spans="1:7">
      <c r="A24" s="423" t="s">
        <v>217</v>
      </c>
      <c r="B24" s="466" t="s">
        <v>1931</v>
      </c>
      <c r="C24" s="457"/>
      <c r="D24" s="457"/>
      <c r="E24" s="456" t="s">
        <v>1678</v>
      </c>
      <c r="F24" s="468"/>
      <c r="G24" s="465" t="s">
        <v>1928</v>
      </c>
    </row>
    <row r="25" spans="1:7">
      <c r="A25" s="423" t="s">
        <v>219</v>
      </c>
      <c r="B25" s="466" t="s">
        <v>1676</v>
      </c>
      <c r="C25" s="457" t="s">
        <v>1677</v>
      </c>
      <c r="D25" s="457" t="s">
        <v>288</v>
      </c>
      <c r="F25" s="463" t="e">
        <f ca="1">60*F17*(F19-F21)/F15/F23/F22*F24</f>
        <v>#NAME?</v>
      </c>
      <c r="G25" s="469" t="s">
        <v>1679</v>
      </c>
    </row>
    <row r="26" spans="1:7">
      <c r="A26" s="423" t="s">
        <v>222</v>
      </c>
      <c r="B26" s="471" t="s">
        <v>1680</v>
      </c>
      <c r="C26" s="472" t="s">
        <v>1681</v>
      </c>
      <c r="D26" s="473"/>
      <c r="E26" s="473"/>
      <c r="F26" s="474"/>
      <c r="G26" s="470"/>
    </row>
    <row r="27" spans="1:7">
      <c r="A27" s="427" t="s">
        <v>1682</v>
      </c>
      <c r="G27" s="470"/>
    </row>
    <row r="28" spans="1:7">
      <c r="A28" s="423"/>
      <c r="B28" s="423" t="s">
        <v>191</v>
      </c>
      <c r="C28" s="423" t="s">
        <v>192</v>
      </c>
      <c r="D28" s="423" t="s">
        <v>1683</v>
      </c>
      <c r="E28" s="423" t="s">
        <v>193</v>
      </c>
      <c r="F28" s="423" t="s">
        <v>194</v>
      </c>
    </row>
    <row r="29" spans="1:7">
      <c r="A29" s="423" t="s">
        <v>148</v>
      </c>
      <c r="B29" s="456" t="s">
        <v>1684</v>
      </c>
      <c r="C29" s="457" t="s">
        <v>1685</v>
      </c>
      <c r="D29" s="457" t="s">
        <v>257</v>
      </c>
      <c r="E29" s="456" t="s">
        <v>1686</v>
      </c>
      <c r="F29" s="458">
        <v>220</v>
      </c>
      <c r="G29" s="525" t="s">
        <v>1935</v>
      </c>
    </row>
    <row r="30" spans="1:7">
      <c r="A30" s="423" t="s">
        <v>156</v>
      </c>
      <c r="B30" s="456" t="s">
        <v>1687</v>
      </c>
      <c r="C30" s="457" t="s">
        <v>1688</v>
      </c>
      <c r="D30" s="457" t="s">
        <v>1689</v>
      </c>
      <c r="E30" s="456" t="s">
        <v>1690</v>
      </c>
      <c r="F30" s="461">
        <v>0.02</v>
      </c>
      <c r="G30" s="459" t="s">
        <v>1675</v>
      </c>
    </row>
    <row r="31" spans="1:7">
      <c r="A31" s="423" t="s">
        <v>160</v>
      </c>
      <c r="B31" s="456" t="s">
        <v>1691</v>
      </c>
      <c r="C31" s="457" t="s">
        <v>1692</v>
      </c>
      <c r="D31" s="457" t="s">
        <v>1693</v>
      </c>
      <c r="E31" s="456" t="s">
        <v>1694</v>
      </c>
      <c r="F31" s="463">
        <f>F29*1000*F30</f>
        <v>4400</v>
      </c>
      <c r="G31" s="464" t="s">
        <v>1679</v>
      </c>
    </row>
    <row r="32" spans="1:7">
      <c r="A32" s="423" t="s">
        <v>164</v>
      </c>
      <c r="B32" s="456" t="s">
        <v>1695</v>
      </c>
      <c r="C32" s="457" t="s">
        <v>238</v>
      </c>
      <c r="D32" s="457" t="s">
        <v>872</v>
      </c>
      <c r="E32" s="456"/>
      <c r="F32" s="463">
        <v>16</v>
      </c>
      <c r="G32" s="525" t="s">
        <v>1935</v>
      </c>
    </row>
    <row r="33" spans="1:7" ht="18.75">
      <c r="A33" s="423" t="s">
        <v>167</v>
      </c>
      <c r="B33" s="466" t="s">
        <v>1696</v>
      </c>
      <c r="C33" s="457" t="s">
        <v>1697</v>
      </c>
      <c r="D33" s="457" t="s">
        <v>1667</v>
      </c>
      <c r="E33" s="456" t="s">
        <v>1695</v>
      </c>
      <c r="F33" s="463" t="e">
        <f ca="1">_xll.HL_P(F32)</f>
        <v>#NAME?</v>
      </c>
      <c r="G33" s="467" t="s">
        <v>1668</v>
      </c>
    </row>
    <row r="34" spans="1:7" ht="24">
      <c r="A34" s="423" t="s">
        <v>204</v>
      </c>
      <c r="B34" s="466" t="s">
        <v>1698</v>
      </c>
      <c r="C34" s="457"/>
      <c r="D34" s="457"/>
      <c r="E34" s="466" t="s">
        <v>1699</v>
      </c>
      <c r="F34" s="463">
        <v>0.45</v>
      </c>
      <c r="G34" s="465" t="s">
        <v>1675</v>
      </c>
    </row>
    <row r="35" spans="1:7">
      <c r="A35" s="423" t="s">
        <v>209</v>
      </c>
      <c r="B35" s="466" t="s">
        <v>1665</v>
      </c>
      <c r="C35" s="457" t="s">
        <v>1666</v>
      </c>
      <c r="D35" s="457" t="s">
        <v>1667</v>
      </c>
      <c r="E35" s="466"/>
      <c r="F35" s="463" t="e">
        <f ca="1">_xll.HL_P(F34)</f>
        <v>#NAME?</v>
      </c>
      <c r="G35" s="467" t="s">
        <v>1668</v>
      </c>
    </row>
    <row r="36" spans="1:7">
      <c r="A36" s="423" t="s">
        <v>212</v>
      </c>
      <c r="B36" s="466" t="s">
        <v>1700</v>
      </c>
      <c r="C36" s="457" t="s">
        <v>1701</v>
      </c>
      <c r="D36" s="457" t="s">
        <v>1702</v>
      </c>
      <c r="E36" s="456" t="s">
        <v>1703</v>
      </c>
      <c r="F36" s="463" t="e">
        <f ca="1">_xll.VG_P(F34)</f>
        <v>#NAME?</v>
      </c>
      <c r="G36" s="467" t="s">
        <v>1668</v>
      </c>
    </row>
    <row r="37" spans="1:7">
      <c r="A37" s="423" t="s">
        <v>216</v>
      </c>
      <c r="B37" s="466" t="s">
        <v>1669</v>
      </c>
      <c r="C37" s="457" t="s">
        <v>1670</v>
      </c>
      <c r="D37" s="457" t="s">
        <v>1667</v>
      </c>
      <c r="E37" s="456" t="s">
        <v>1671</v>
      </c>
      <c r="F37" s="463" t="e">
        <f ca="1">_xll.HG_P(F34)-F35</f>
        <v>#NAME?</v>
      </c>
      <c r="G37" s="469" t="s">
        <v>1679</v>
      </c>
    </row>
    <row r="38" spans="1:7">
      <c r="A38" s="423" t="s">
        <v>219</v>
      </c>
      <c r="B38" s="466" t="s">
        <v>1704</v>
      </c>
      <c r="C38" s="457" t="s">
        <v>1705</v>
      </c>
      <c r="D38" s="457"/>
      <c r="E38" s="456" t="s">
        <v>1706</v>
      </c>
      <c r="F38" s="468">
        <v>0.97</v>
      </c>
      <c r="G38" s="465" t="s">
        <v>1675</v>
      </c>
    </row>
    <row r="39" spans="1:7">
      <c r="A39" s="423" t="s">
        <v>222</v>
      </c>
      <c r="B39" s="466" t="s">
        <v>1672</v>
      </c>
      <c r="C39" s="457" t="s">
        <v>1673</v>
      </c>
      <c r="D39" s="457" t="s">
        <v>1674</v>
      </c>
      <c r="E39" s="456">
        <v>2000</v>
      </c>
      <c r="F39" s="468">
        <v>2000</v>
      </c>
      <c r="G39" s="465" t="s">
        <v>1934</v>
      </c>
    </row>
    <row r="40" spans="1:7">
      <c r="A40" s="423" t="s">
        <v>227</v>
      </c>
      <c r="B40" s="466" t="s">
        <v>1708</v>
      </c>
      <c r="C40" s="457" t="s">
        <v>1709</v>
      </c>
      <c r="D40" s="457" t="s">
        <v>1693</v>
      </c>
      <c r="E40" s="456" t="s">
        <v>1710</v>
      </c>
      <c r="F40" s="463" t="e">
        <f ca="1">F31*(F33-F35)/F38/F41</f>
        <v>#NAME?</v>
      </c>
      <c r="G40" s="469" t="s">
        <v>1679</v>
      </c>
    </row>
    <row r="41" spans="1:7">
      <c r="A41" s="423" t="s">
        <v>230</v>
      </c>
      <c r="B41" s="466" t="s">
        <v>1932</v>
      </c>
      <c r="C41" s="457"/>
      <c r="D41" s="457"/>
      <c r="E41" s="456" t="s">
        <v>1929</v>
      </c>
      <c r="F41" s="463">
        <v>1.2</v>
      </c>
      <c r="G41" s="465" t="s">
        <v>1928</v>
      </c>
    </row>
    <row r="42" spans="1:7">
      <c r="A42" s="423" t="s">
        <v>231</v>
      </c>
      <c r="B42" s="466" t="s">
        <v>1711</v>
      </c>
      <c r="C42" s="457" t="s">
        <v>1677</v>
      </c>
      <c r="D42" s="457" t="s">
        <v>288</v>
      </c>
      <c r="E42" s="456" t="s">
        <v>1930</v>
      </c>
      <c r="F42" s="463">
        <f ca="1">(1+0.25)*F40*F36/F39*F42</f>
        <v>0</v>
      </c>
      <c r="G42" s="469" t="s">
        <v>1679</v>
      </c>
    </row>
    <row r="43" spans="1:7">
      <c r="A43" s="423" t="s">
        <v>883</v>
      </c>
      <c r="B43" s="471" t="s">
        <v>1680</v>
      </c>
      <c r="C43" s="472" t="s">
        <v>1712</v>
      </c>
      <c r="D43" s="473"/>
      <c r="E43" s="473"/>
      <c r="F43" s="474"/>
    </row>
    <row r="44" spans="1:7">
      <c r="A44" s="427" t="s">
        <v>1713</v>
      </c>
    </row>
    <row r="45" spans="1:7">
      <c r="A45" s="475"/>
      <c r="B45" s="476" t="s">
        <v>1714</v>
      </c>
      <c r="C45" s="477" t="s">
        <v>287</v>
      </c>
      <c r="D45" s="477" t="s">
        <v>288</v>
      </c>
      <c r="E45" s="476" t="s">
        <v>1518</v>
      </c>
      <c r="F45" s="478">
        <v>120</v>
      </c>
      <c r="G45" s="525" t="s">
        <v>1935</v>
      </c>
    </row>
    <row r="46" spans="1:7" ht="18.75">
      <c r="A46" s="423" t="s">
        <v>148</v>
      </c>
      <c r="B46" s="479" t="s">
        <v>1715</v>
      </c>
      <c r="C46" s="477" t="s">
        <v>1716</v>
      </c>
      <c r="D46" s="477" t="s">
        <v>1717</v>
      </c>
      <c r="E46" s="479" t="s">
        <v>1718</v>
      </c>
      <c r="F46" s="480">
        <v>20</v>
      </c>
      <c r="G46" s="465" t="s">
        <v>1675</v>
      </c>
    </row>
    <row r="47" spans="1:7">
      <c r="A47" s="423" t="s">
        <v>152</v>
      </c>
      <c r="B47" s="476" t="s">
        <v>1719</v>
      </c>
      <c r="C47" s="477" t="s">
        <v>274</v>
      </c>
      <c r="D47" s="477" t="s">
        <v>1720</v>
      </c>
      <c r="E47" s="476" t="s">
        <v>1721</v>
      </c>
      <c r="F47" s="480">
        <v>8.5</v>
      </c>
      <c r="G47" s="465" t="s">
        <v>1675</v>
      </c>
    </row>
    <row r="48" spans="1:7">
      <c r="A48" s="423" t="s">
        <v>156</v>
      </c>
      <c r="B48" s="476" t="s">
        <v>1722</v>
      </c>
      <c r="C48" s="477" t="s">
        <v>1723</v>
      </c>
      <c r="D48" s="477" t="s">
        <v>275</v>
      </c>
      <c r="E48" s="476" t="s">
        <v>1724</v>
      </c>
      <c r="F48" s="480">
        <v>0.95</v>
      </c>
      <c r="G48" s="465" t="s">
        <v>1675</v>
      </c>
    </row>
    <row r="49" spans="1:7" ht="18.75">
      <c r="A49" s="423" t="s">
        <v>160</v>
      </c>
      <c r="B49" s="476" t="s">
        <v>1725</v>
      </c>
      <c r="C49" s="477" t="s">
        <v>1726</v>
      </c>
      <c r="D49" s="477" t="s">
        <v>1727</v>
      </c>
      <c r="E49" s="476" t="s">
        <v>1728</v>
      </c>
      <c r="F49" s="481">
        <f>F45*(F46+28.5*F47)/250/F48</f>
        <v>132.50526315789475</v>
      </c>
      <c r="G49" s="469" t="s">
        <v>1679</v>
      </c>
    </row>
    <row r="50" spans="1:7" ht="18.75">
      <c r="A50" s="423" t="s">
        <v>164</v>
      </c>
      <c r="B50" s="479" t="s">
        <v>1729</v>
      </c>
      <c r="C50" s="477" t="s">
        <v>1730</v>
      </c>
      <c r="D50" s="477" t="s">
        <v>257</v>
      </c>
      <c r="E50" s="476" t="s">
        <v>1518</v>
      </c>
      <c r="F50" s="478">
        <v>120</v>
      </c>
      <c r="G50" s="525" t="s">
        <v>1935</v>
      </c>
    </row>
    <row r="51" spans="1:7" ht="18.75">
      <c r="A51" s="423" t="s">
        <v>167</v>
      </c>
      <c r="B51" s="479" t="s">
        <v>1731</v>
      </c>
      <c r="C51" s="477" t="s">
        <v>1732</v>
      </c>
      <c r="D51" s="477" t="s">
        <v>257</v>
      </c>
      <c r="E51" s="476"/>
      <c r="F51" s="478">
        <f>F50*F30</f>
        <v>2.4</v>
      </c>
      <c r="G51" s="469" t="s">
        <v>1679</v>
      </c>
    </row>
    <row r="52" spans="1:7" ht="18.75">
      <c r="A52" s="423" t="s">
        <v>204</v>
      </c>
      <c r="B52" s="476" t="s">
        <v>1733</v>
      </c>
      <c r="C52" s="477" t="s">
        <v>1726</v>
      </c>
      <c r="D52" s="477" t="s">
        <v>1734</v>
      </c>
      <c r="E52" s="479" t="s">
        <v>1735</v>
      </c>
      <c r="F52" s="481">
        <f>(28.5*F47*F50+F46*F51)/250/F48</f>
        <v>122.6021052631579</v>
      </c>
      <c r="G52" s="469" t="s">
        <v>1679</v>
      </c>
    </row>
    <row r="53" spans="1:7">
      <c r="A53" s="423" t="s">
        <v>209</v>
      </c>
      <c r="B53" s="476" t="s">
        <v>1736</v>
      </c>
      <c r="C53" s="477" t="s">
        <v>1737</v>
      </c>
      <c r="D53" s="477" t="s">
        <v>1689</v>
      </c>
      <c r="E53" s="456" t="s">
        <v>1738</v>
      </c>
      <c r="F53" s="482">
        <v>0.04</v>
      </c>
      <c r="G53" s="465" t="s">
        <v>1675</v>
      </c>
    </row>
    <row r="54" spans="1:7">
      <c r="A54" s="423" t="s">
        <v>212</v>
      </c>
      <c r="B54" s="483" t="s">
        <v>1739</v>
      </c>
      <c r="C54" s="477" t="s">
        <v>1740</v>
      </c>
      <c r="D54" s="477" t="s">
        <v>1741</v>
      </c>
      <c r="E54" s="456" t="s">
        <v>1742</v>
      </c>
      <c r="F54" s="484">
        <v>1.0405</v>
      </c>
      <c r="G54" s="465" t="s">
        <v>1675</v>
      </c>
    </row>
    <row r="55" spans="1:7" ht="18.75">
      <c r="A55" s="423" t="s">
        <v>216</v>
      </c>
      <c r="B55" s="483" t="s">
        <v>1743</v>
      </c>
      <c r="C55" s="477" t="s">
        <v>1744</v>
      </c>
      <c r="D55" s="477" t="s">
        <v>1745</v>
      </c>
      <c r="E55" s="479" t="s">
        <v>1746</v>
      </c>
      <c r="F55" s="485">
        <f>(F52)/(10*F53*F54)</f>
        <v>294.57497660537695</v>
      </c>
      <c r="G55" s="469" t="s">
        <v>1679</v>
      </c>
    </row>
    <row r="56" spans="1:7">
      <c r="A56" s="427" t="s">
        <v>1938</v>
      </c>
    </row>
    <row r="57" spans="1:7">
      <c r="A57" s="486" t="s">
        <v>148</v>
      </c>
      <c r="B57" s="476" t="s">
        <v>1747</v>
      </c>
      <c r="C57" s="487" t="s">
        <v>238</v>
      </c>
      <c r="D57" s="477" t="s">
        <v>872</v>
      </c>
      <c r="E57" s="476" t="s">
        <v>1686</v>
      </c>
      <c r="F57" s="488">
        <v>9.8000000000000007</v>
      </c>
      <c r="G57" s="525" t="s">
        <v>1935</v>
      </c>
    </row>
    <row r="58" spans="1:7" ht="36">
      <c r="A58" s="486" t="s">
        <v>152</v>
      </c>
      <c r="B58" s="479" t="s">
        <v>1748</v>
      </c>
      <c r="C58" s="487" t="s">
        <v>1749</v>
      </c>
      <c r="D58" s="477" t="s">
        <v>872</v>
      </c>
      <c r="E58" s="479" t="s">
        <v>1750</v>
      </c>
      <c r="F58" s="489">
        <v>10.63</v>
      </c>
      <c r="G58" s="465" t="s">
        <v>1675</v>
      </c>
    </row>
    <row r="59" spans="1:7">
      <c r="A59" s="486" t="s">
        <v>156</v>
      </c>
      <c r="B59" s="476" t="s">
        <v>1751</v>
      </c>
      <c r="C59" s="487" t="s">
        <v>1752</v>
      </c>
      <c r="D59" s="477" t="s">
        <v>872</v>
      </c>
      <c r="E59" s="476" t="s">
        <v>1686</v>
      </c>
      <c r="F59" s="489">
        <v>0.59</v>
      </c>
      <c r="G59" s="465" t="s">
        <v>1675</v>
      </c>
    </row>
    <row r="60" spans="1:7" ht="18.75">
      <c r="A60" s="486" t="s">
        <v>160</v>
      </c>
      <c r="B60" s="476" t="s">
        <v>1753</v>
      </c>
      <c r="C60" s="487" t="s">
        <v>1754</v>
      </c>
      <c r="D60" s="477" t="s">
        <v>275</v>
      </c>
      <c r="E60" s="476" t="s">
        <v>1755</v>
      </c>
      <c r="F60" s="490">
        <v>5</v>
      </c>
      <c r="G60" s="465" t="s">
        <v>1675</v>
      </c>
    </row>
    <row r="61" spans="1:7" ht="18.75">
      <c r="A61" s="486" t="s">
        <v>164</v>
      </c>
      <c r="B61" s="476" t="s">
        <v>1756</v>
      </c>
      <c r="C61" s="487" t="s">
        <v>1757</v>
      </c>
      <c r="D61" s="477" t="s">
        <v>275</v>
      </c>
      <c r="E61" s="476" t="s">
        <v>1758</v>
      </c>
      <c r="F61" s="490">
        <v>5</v>
      </c>
      <c r="G61" s="465" t="s">
        <v>1675</v>
      </c>
    </row>
    <row r="62" spans="1:7" ht="24">
      <c r="A62" s="486" t="s">
        <v>167</v>
      </c>
      <c r="B62" s="479" t="s">
        <v>1759</v>
      </c>
      <c r="C62" s="487" t="s">
        <v>1760</v>
      </c>
      <c r="D62" s="477" t="s">
        <v>275</v>
      </c>
      <c r="E62" s="476" t="s">
        <v>1686</v>
      </c>
      <c r="F62" s="489">
        <v>20</v>
      </c>
      <c r="G62" s="465" t="s">
        <v>1707</v>
      </c>
    </row>
    <row r="63" spans="1:7" ht="24">
      <c r="A63" s="486" t="s">
        <v>204</v>
      </c>
      <c r="B63" s="479" t="s">
        <v>1761</v>
      </c>
      <c r="C63" s="487" t="s">
        <v>1762</v>
      </c>
      <c r="D63" s="477" t="s">
        <v>275</v>
      </c>
      <c r="E63" s="476" t="s">
        <v>1686</v>
      </c>
      <c r="F63" s="491">
        <v>25</v>
      </c>
      <c r="G63" s="465" t="s">
        <v>1707</v>
      </c>
    </row>
    <row r="64" spans="1:7" ht="27">
      <c r="A64" s="486" t="s">
        <v>209</v>
      </c>
      <c r="B64" s="476" t="s">
        <v>1763</v>
      </c>
      <c r="C64" s="487" t="s">
        <v>1764</v>
      </c>
      <c r="D64" s="477" t="s">
        <v>275</v>
      </c>
      <c r="E64" s="479" t="s">
        <v>1765</v>
      </c>
      <c r="F64" s="492">
        <f>(F58-F59)*102+1.2*(F60+F61)+F62-F63</f>
        <v>1031.0800000000002</v>
      </c>
      <c r="G64" s="469" t="s">
        <v>1679</v>
      </c>
    </row>
    <row r="65" spans="1:7">
      <c r="A65" s="486" t="s">
        <v>212</v>
      </c>
      <c r="B65" s="476" t="s">
        <v>1575</v>
      </c>
      <c r="C65" s="487" t="s">
        <v>266</v>
      </c>
      <c r="D65" s="477" t="s">
        <v>257</v>
      </c>
      <c r="E65" s="479" t="s">
        <v>1766</v>
      </c>
      <c r="F65" s="490">
        <v>110</v>
      </c>
      <c r="G65" s="465" t="s">
        <v>1707</v>
      </c>
    </row>
    <row r="66" spans="1:7">
      <c r="A66" s="486" t="s">
        <v>216</v>
      </c>
      <c r="B66" s="476" t="s">
        <v>1576</v>
      </c>
      <c r="C66" s="493" t="s">
        <v>1688</v>
      </c>
      <c r="D66" s="494" t="s">
        <v>1689</v>
      </c>
      <c r="E66" s="476" t="s">
        <v>1767</v>
      </c>
      <c r="F66" s="495">
        <v>0.7</v>
      </c>
      <c r="G66" s="465" t="s">
        <v>1675</v>
      </c>
    </row>
    <row r="67" spans="1:7">
      <c r="A67" s="486" t="s">
        <v>217</v>
      </c>
      <c r="B67" s="476" t="s">
        <v>1578</v>
      </c>
      <c r="C67" s="493" t="s">
        <v>1768</v>
      </c>
      <c r="D67" s="494" t="s">
        <v>1689</v>
      </c>
      <c r="E67" s="476" t="s">
        <v>1579</v>
      </c>
      <c r="F67" s="495">
        <v>0.98</v>
      </c>
      <c r="G67" s="465" t="s">
        <v>1675</v>
      </c>
    </row>
    <row r="68" spans="1:7">
      <c r="A68" s="486" t="s">
        <v>219</v>
      </c>
      <c r="B68" s="476" t="s">
        <v>220</v>
      </c>
      <c r="C68" s="493" t="s">
        <v>1769</v>
      </c>
      <c r="D68" s="494" t="s">
        <v>1689</v>
      </c>
      <c r="E68" s="476" t="s">
        <v>1770</v>
      </c>
      <c r="F68" s="495">
        <v>0.9</v>
      </c>
      <c r="G68" s="465" t="s">
        <v>1675</v>
      </c>
    </row>
    <row r="69" spans="1:7">
      <c r="A69" s="486" t="s">
        <v>222</v>
      </c>
      <c r="B69" s="476" t="s">
        <v>1581</v>
      </c>
      <c r="C69" s="496" t="s">
        <v>1771</v>
      </c>
      <c r="D69" s="476" t="s">
        <v>1689</v>
      </c>
      <c r="E69" s="476" t="s">
        <v>1582</v>
      </c>
      <c r="F69" s="490">
        <v>1.1499999999999999</v>
      </c>
      <c r="G69" s="465" t="s">
        <v>1675</v>
      </c>
    </row>
    <row r="70" spans="1:7">
      <c r="A70" s="486" t="s">
        <v>227</v>
      </c>
      <c r="B70" s="476" t="s">
        <v>1583</v>
      </c>
      <c r="C70" s="487" t="s">
        <v>238</v>
      </c>
      <c r="D70" s="477" t="s">
        <v>225</v>
      </c>
      <c r="E70" s="456" t="s">
        <v>1584</v>
      </c>
      <c r="F70" s="492">
        <f>1.15*1000*9.8*F64*1.15*F65/3600/1000/0.7/0.98/0.9</f>
        <v>661.35962522045861</v>
      </c>
      <c r="G70" s="469" t="s">
        <v>1679</v>
      </c>
    </row>
    <row r="71" spans="1:7" ht="15" thickBot="1">
      <c r="A71" s="486" t="s">
        <v>230</v>
      </c>
      <c r="B71" s="497" t="s">
        <v>1772</v>
      </c>
      <c r="C71" s="498"/>
      <c r="D71" s="498"/>
      <c r="E71" s="498"/>
      <c r="F71" s="499"/>
    </row>
    <row r="72" spans="1:7">
      <c r="A72" s="427" t="s">
        <v>1939</v>
      </c>
    </row>
    <row r="73" spans="1:7">
      <c r="A73" s="423" t="s">
        <v>148</v>
      </c>
      <c r="B73" s="456" t="s">
        <v>1684</v>
      </c>
      <c r="C73" s="457" t="s">
        <v>1685</v>
      </c>
      <c r="D73" s="457" t="s">
        <v>257</v>
      </c>
      <c r="E73" s="456" t="s">
        <v>1686</v>
      </c>
      <c r="F73" s="458">
        <v>220</v>
      </c>
      <c r="G73" s="525" t="s">
        <v>1935</v>
      </c>
    </row>
    <row r="74" spans="1:7">
      <c r="A74" s="423" t="s">
        <v>152</v>
      </c>
      <c r="B74" s="456" t="s">
        <v>1773</v>
      </c>
      <c r="C74" s="457" t="s">
        <v>1774</v>
      </c>
      <c r="D74" s="457" t="s">
        <v>257</v>
      </c>
      <c r="E74" s="456" t="s">
        <v>1775</v>
      </c>
      <c r="F74" s="458">
        <v>0</v>
      </c>
      <c r="G74" s="465" t="s">
        <v>1707</v>
      </c>
    </row>
    <row r="75" spans="1:7">
      <c r="A75" s="423" t="s">
        <v>156</v>
      </c>
      <c r="B75" s="456" t="s">
        <v>1776</v>
      </c>
      <c r="C75" s="457" t="s">
        <v>1777</v>
      </c>
      <c r="D75" s="457" t="s">
        <v>257</v>
      </c>
      <c r="E75" s="500">
        <v>0.03</v>
      </c>
      <c r="F75" s="501">
        <f>0.03*(F73+F74)</f>
        <v>6.6</v>
      </c>
      <c r="G75" s="469" t="s">
        <v>1679</v>
      </c>
    </row>
    <row r="76" spans="1:7">
      <c r="A76" s="423" t="s">
        <v>160</v>
      </c>
      <c r="B76" s="456" t="s">
        <v>1778</v>
      </c>
      <c r="C76" s="457" t="s">
        <v>1779</v>
      </c>
      <c r="D76" s="457" t="s">
        <v>257</v>
      </c>
      <c r="E76" s="500">
        <v>0.02</v>
      </c>
      <c r="F76" s="501">
        <f>0.02*(F73+F74)</f>
        <v>4.4000000000000004</v>
      </c>
      <c r="G76" s="469" t="s">
        <v>1679</v>
      </c>
    </row>
    <row r="77" spans="1:7">
      <c r="A77" s="423" t="s">
        <v>164</v>
      </c>
      <c r="B77" s="456" t="s">
        <v>1780</v>
      </c>
      <c r="C77" s="457" t="s">
        <v>1781</v>
      </c>
      <c r="D77" s="457" t="s">
        <v>257</v>
      </c>
      <c r="E77" s="456" t="s">
        <v>1686</v>
      </c>
      <c r="F77" s="458">
        <v>148</v>
      </c>
      <c r="G77" s="525" t="s">
        <v>1936</v>
      </c>
    </row>
    <row r="78" spans="1:7">
      <c r="A78" s="423" t="s">
        <v>167</v>
      </c>
      <c r="B78" s="456" t="s">
        <v>1782</v>
      </c>
      <c r="C78" s="457" t="s">
        <v>1783</v>
      </c>
      <c r="D78" s="457" t="s">
        <v>257</v>
      </c>
      <c r="E78" s="500">
        <v>0.02</v>
      </c>
      <c r="F78" s="501">
        <f>0.02*F77</f>
        <v>2.96</v>
      </c>
      <c r="G78" s="469" t="s">
        <v>1679</v>
      </c>
    </row>
    <row r="79" spans="1:7">
      <c r="A79" s="423" t="s">
        <v>204</v>
      </c>
      <c r="B79" s="456" t="s">
        <v>1784</v>
      </c>
      <c r="C79" s="457" t="s">
        <v>1785</v>
      </c>
      <c r="D79" s="457" t="s">
        <v>257</v>
      </c>
      <c r="E79" s="500"/>
      <c r="F79" s="501">
        <f>F75+F76+F78</f>
        <v>13.96</v>
      </c>
      <c r="G79" s="469" t="s">
        <v>1679</v>
      </c>
    </row>
    <row r="80" spans="1:7">
      <c r="A80" s="423" t="s">
        <v>209</v>
      </c>
      <c r="B80" s="502" t="s">
        <v>1786</v>
      </c>
      <c r="C80" s="457" t="s">
        <v>1787</v>
      </c>
      <c r="D80" s="457" t="s">
        <v>257</v>
      </c>
      <c r="E80" s="500" t="s">
        <v>1788</v>
      </c>
      <c r="F80" s="503">
        <f>(1+F81)*(F82+F83)*F79/F82</f>
        <v>18.427200000000003</v>
      </c>
      <c r="G80" s="526" t="s">
        <v>1937</v>
      </c>
    </row>
    <row r="81" spans="1:7">
      <c r="A81" s="423" t="s">
        <v>212</v>
      </c>
      <c r="B81" s="502"/>
      <c r="C81" s="477" t="s">
        <v>1670</v>
      </c>
      <c r="D81" s="423" t="s">
        <v>1689</v>
      </c>
      <c r="E81" s="456" t="s">
        <v>1789</v>
      </c>
      <c r="F81" s="428">
        <v>0.1</v>
      </c>
      <c r="G81" s="526" t="s">
        <v>1937</v>
      </c>
    </row>
    <row r="82" spans="1:7">
      <c r="A82" s="423" t="s">
        <v>216</v>
      </c>
      <c r="B82" s="502"/>
      <c r="C82" s="477" t="s">
        <v>782</v>
      </c>
      <c r="D82" s="477" t="s">
        <v>263</v>
      </c>
      <c r="E82" s="456" t="s">
        <v>1790</v>
      </c>
      <c r="F82" s="428">
        <v>20</v>
      </c>
      <c r="G82" s="526" t="s">
        <v>1937</v>
      </c>
    </row>
    <row r="83" spans="1:7">
      <c r="A83" s="423" t="s">
        <v>217</v>
      </c>
      <c r="B83" s="502"/>
      <c r="C83" s="477" t="s">
        <v>151</v>
      </c>
      <c r="D83" s="477" t="s">
        <v>263</v>
      </c>
      <c r="E83" s="456" t="s">
        <v>1791</v>
      </c>
      <c r="F83" s="428">
        <v>4</v>
      </c>
      <c r="G83" s="526" t="s">
        <v>1937</v>
      </c>
    </row>
    <row r="84" spans="1:7">
      <c r="A84" s="423" t="s">
        <v>219</v>
      </c>
      <c r="B84" s="476" t="s">
        <v>1792</v>
      </c>
      <c r="C84" s="477" t="s">
        <v>1793</v>
      </c>
      <c r="D84" s="457" t="s">
        <v>257</v>
      </c>
      <c r="E84" s="504">
        <v>0.1</v>
      </c>
      <c r="F84" s="428">
        <f>0.1*(F73+F74)</f>
        <v>22</v>
      </c>
      <c r="G84" s="469" t="s">
        <v>1679</v>
      </c>
    </row>
    <row r="85" spans="1:7">
      <c r="A85" s="423" t="s">
        <v>222</v>
      </c>
      <c r="B85" s="476" t="s">
        <v>1794</v>
      </c>
      <c r="C85" s="477" t="s">
        <v>1795</v>
      </c>
      <c r="D85" s="457" t="s">
        <v>257</v>
      </c>
      <c r="E85" s="504"/>
      <c r="F85" s="505">
        <f>F84+F79</f>
        <v>35.96</v>
      </c>
      <c r="G85" s="469" t="s">
        <v>1679</v>
      </c>
    </row>
    <row r="86" spans="1:7">
      <c r="A86" s="423" t="s">
        <v>227</v>
      </c>
      <c r="B86" s="476" t="s">
        <v>1796</v>
      </c>
      <c r="C86" s="477" t="s">
        <v>1797</v>
      </c>
      <c r="D86" s="457" t="s">
        <v>257</v>
      </c>
      <c r="E86" s="504"/>
      <c r="F86" s="505">
        <f>(F82+F83)*F85/F82</f>
        <v>43.152000000000001</v>
      </c>
      <c r="G86" s="469" t="s">
        <v>1679</v>
      </c>
    </row>
    <row r="87" spans="1:7">
      <c r="A87" s="423" t="s">
        <v>230</v>
      </c>
      <c r="B87" s="506" t="s">
        <v>1798</v>
      </c>
      <c r="C87" s="507" t="s">
        <v>1799</v>
      </c>
      <c r="D87" s="507" t="s">
        <v>257</v>
      </c>
      <c r="E87" s="508" t="s">
        <v>1800</v>
      </c>
      <c r="F87" s="508"/>
    </row>
    <row r="88" spans="1:7">
      <c r="A88" s="427" t="s">
        <v>1940</v>
      </c>
    </row>
    <row r="89" spans="1:7">
      <c r="A89" s="423" t="s">
        <v>148</v>
      </c>
      <c r="B89" s="456" t="s">
        <v>1684</v>
      </c>
      <c r="C89" s="457" t="s">
        <v>1685</v>
      </c>
      <c r="D89" s="457" t="s">
        <v>257</v>
      </c>
      <c r="E89" s="456" t="s">
        <v>1686</v>
      </c>
      <c r="F89" s="458">
        <v>220</v>
      </c>
      <c r="G89" s="525" t="s">
        <v>1935</v>
      </c>
    </row>
    <row r="90" spans="1:7">
      <c r="A90" s="423" t="s">
        <v>152</v>
      </c>
      <c r="B90" s="456" t="s">
        <v>1801</v>
      </c>
      <c r="C90" s="457" t="s">
        <v>151</v>
      </c>
      <c r="D90" s="457" t="s">
        <v>1802</v>
      </c>
      <c r="E90" s="456" t="s">
        <v>1803</v>
      </c>
      <c r="F90" s="458">
        <v>15</v>
      </c>
      <c r="G90" s="465" t="s">
        <v>1675</v>
      </c>
    </row>
    <row r="91" spans="1:7">
      <c r="A91" s="423" t="s">
        <v>156</v>
      </c>
      <c r="B91" s="456" t="s">
        <v>1804</v>
      </c>
      <c r="C91" s="457" t="s">
        <v>287</v>
      </c>
      <c r="D91" s="457" t="s">
        <v>1805</v>
      </c>
      <c r="E91" s="456"/>
      <c r="F91" s="509">
        <f>F89*F90/60</f>
        <v>55</v>
      </c>
      <c r="G91" s="469" t="s">
        <v>1679</v>
      </c>
    </row>
    <row r="92" spans="1:7">
      <c r="A92" s="423" t="s">
        <v>160</v>
      </c>
      <c r="B92" s="510" t="s">
        <v>1806</v>
      </c>
      <c r="C92" s="457" t="s">
        <v>285</v>
      </c>
      <c r="D92" s="457" t="s">
        <v>275</v>
      </c>
      <c r="E92" s="457" t="s">
        <v>283</v>
      </c>
      <c r="F92" s="511">
        <v>4</v>
      </c>
      <c r="G92" s="465" t="s">
        <v>1707</v>
      </c>
    </row>
    <row r="93" spans="1:7">
      <c r="A93" s="423" t="s">
        <v>164</v>
      </c>
      <c r="B93" s="512"/>
      <c r="C93" s="457" t="s">
        <v>1807</v>
      </c>
      <c r="D93" s="457" t="s">
        <v>275</v>
      </c>
      <c r="E93" s="457" t="s">
        <v>1808</v>
      </c>
      <c r="F93" s="513">
        <f>2*SQRT(F91/F92/3.14)</f>
        <v>4.1852029301909583</v>
      </c>
      <c r="G93" s="469" t="s">
        <v>1679</v>
      </c>
    </row>
    <row r="94" spans="1:7">
      <c r="A94" s="427" t="s">
        <v>1809</v>
      </c>
    </row>
    <row r="95" spans="1:7">
      <c r="A95" s="423" t="s">
        <v>148</v>
      </c>
      <c r="B95" s="456" t="s">
        <v>1810</v>
      </c>
      <c r="C95" s="457" t="s">
        <v>1685</v>
      </c>
      <c r="D95" s="457" t="s">
        <v>257</v>
      </c>
      <c r="E95" s="456" t="s">
        <v>1686</v>
      </c>
      <c r="F95" s="458">
        <v>120</v>
      </c>
    </row>
    <row r="96" spans="1:7">
      <c r="A96" s="423" t="s">
        <v>152</v>
      </c>
      <c r="B96" s="456" t="s">
        <v>1811</v>
      </c>
      <c r="C96" s="487" t="s">
        <v>1749</v>
      </c>
      <c r="D96" s="477" t="s">
        <v>872</v>
      </c>
      <c r="E96" s="456" t="s">
        <v>1812</v>
      </c>
      <c r="F96" s="514">
        <v>0.59</v>
      </c>
    </row>
    <row r="97" spans="1:7">
      <c r="A97" s="423" t="s">
        <v>156</v>
      </c>
      <c r="B97" s="456" t="s">
        <v>157</v>
      </c>
      <c r="C97" s="487" t="s">
        <v>1813</v>
      </c>
      <c r="D97" s="477" t="s">
        <v>177</v>
      </c>
      <c r="E97" s="456" t="s">
        <v>1814</v>
      </c>
      <c r="F97" s="515">
        <v>87850</v>
      </c>
    </row>
    <row r="98" spans="1:7">
      <c r="A98" s="423" t="s">
        <v>160</v>
      </c>
      <c r="B98" s="456" t="s">
        <v>1815</v>
      </c>
      <c r="C98" s="477" t="s">
        <v>1740</v>
      </c>
      <c r="D98" s="477" t="s">
        <v>1816</v>
      </c>
      <c r="E98" s="456" t="s">
        <v>1817</v>
      </c>
      <c r="F98" s="501" t="e">
        <f ca="1">1/_xll.VL_P($F$97/1000000)</f>
        <v>#NAME?</v>
      </c>
      <c r="G98" s="516"/>
    </row>
    <row r="99" spans="1:7">
      <c r="A99" s="423" t="s">
        <v>164</v>
      </c>
      <c r="B99" s="456" t="s">
        <v>1818</v>
      </c>
      <c r="C99" s="457" t="s">
        <v>1819</v>
      </c>
      <c r="D99" s="457" t="s">
        <v>1820</v>
      </c>
      <c r="E99" s="456" t="s">
        <v>1821</v>
      </c>
      <c r="F99" s="501" t="e">
        <f ca="1">F95*1000/F98</f>
        <v>#NAME?</v>
      </c>
    </row>
    <row r="100" spans="1:7">
      <c r="A100" s="423" t="s">
        <v>167</v>
      </c>
      <c r="B100" s="456" t="s">
        <v>1822</v>
      </c>
      <c r="C100" s="457" t="s">
        <v>1823</v>
      </c>
      <c r="D100" s="457" t="s">
        <v>1824</v>
      </c>
      <c r="E100" s="456" t="s">
        <v>1825</v>
      </c>
      <c r="F100" s="501">
        <v>2.5</v>
      </c>
    </row>
    <row r="101" spans="1:7">
      <c r="A101" s="423" t="s">
        <v>204</v>
      </c>
      <c r="B101" s="456" t="s">
        <v>1826</v>
      </c>
      <c r="C101" s="457" t="s">
        <v>1827</v>
      </c>
      <c r="D101" s="457" t="s">
        <v>1824</v>
      </c>
      <c r="E101" s="456" t="s">
        <v>1828</v>
      </c>
      <c r="F101" s="501">
        <v>1</v>
      </c>
    </row>
    <row r="102" spans="1:7">
      <c r="A102" s="423" t="s">
        <v>209</v>
      </c>
      <c r="B102" s="456" t="s">
        <v>1829</v>
      </c>
      <c r="C102" s="457" t="s">
        <v>1830</v>
      </c>
      <c r="D102" s="457" t="s">
        <v>1831</v>
      </c>
      <c r="E102" s="456" t="s">
        <v>1832</v>
      </c>
      <c r="F102" s="501">
        <v>1.5</v>
      </c>
    </row>
    <row r="103" spans="1:7">
      <c r="A103" s="423" t="s">
        <v>212</v>
      </c>
      <c r="B103" s="456" t="s">
        <v>1833</v>
      </c>
      <c r="C103" s="457"/>
      <c r="D103" s="457" t="s">
        <v>1824</v>
      </c>
      <c r="E103" s="456" t="s">
        <v>1834</v>
      </c>
      <c r="F103" s="501">
        <v>0.5</v>
      </c>
    </row>
    <row r="104" spans="1:7">
      <c r="A104" s="423" t="s">
        <v>216</v>
      </c>
      <c r="B104" s="456" t="s">
        <v>1835</v>
      </c>
      <c r="C104" s="457" t="s">
        <v>1836</v>
      </c>
      <c r="D104" s="457" t="s">
        <v>1824</v>
      </c>
      <c r="E104" s="517" t="s">
        <v>1837</v>
      </c>
      <c r="F104" s="503">
        <f>10.09-F100+F101+F102*F102/2/9.8+F103</f>
        <v>9.2047959183673473</v>
      </c>
    </row>
    <row r="105" spans="1:7">
      <c r="A105" s="427" t="s">
        <v>1838</v>
      </c>
    </row>
    <row r="106" spans="1:7">
      <c r="A106" s="423" t="s">
        <v>148</v>
      </c>
      <c r="B106" s="456" t="s">
        <v>1839</v>
      </c>
      <c r="C106" s="457" t="s">
        <v>1840</v>
      </c>
      <c r="D106" s="518" t="s">
        <v>1841</v>
      </c>
      <c r="E106" s="456" t="s">
        <v>1842</v>
      </c>
      <c r="F106" s="514">
        <v>435</v>
      </c>
    </row>
    <row r="107" spans="1:7">
      <c r="A107" s="423" t="s">
        <v>152</v>
      </c>
      <c r="B107" s="519" t="s">
        <v>1843</v>
      </c>
      <c r="C107" s="457" t="s">
        <v>1844</v>
      </c>
      <c r="D107" s="518" t="s">
        <v>1845</v>
      </c>
      <c r="E107" s="456" t="s">
        <v>1842</v>
      </c>
      <c r="F107" s="514">
        <v>3.43</v>
      </c>
    </row>
    <row r="108" spans="1:7">
      <c r="A108" s="423" t="s">
        <v>156</v>
      </c>
      <c r="B108" s="519" t="s">
        <v>1846</v>
      </c>
      <c r="C108" s="457" t="s">
        <v>1847</v>
      </c>
      <c r="D108" s="518" t="s">
        <v>1848</v>
      </c>
      <c r="E108" s="456" t="s">
        <v>1849</v>
      </c>
      <c r="F108" s="463" t="e">
        <f ca="1">_xll.H_PT($F$107,$F$106)</f>
        <v>#NAME?</v>
      </c>
    </row>
    <row r="109" spans="1:7">
      <c r="A109" s="423" t="s">
        <v>160</v>
      </c>
      <c r="B109" s="519" t="s">
        <v>1575</v>
      </c>
      <c r="C109" s="457" t="s">
        <v>1850</v>
      </c>
      <c r="D109" s="518" t="s">
        <v>257</v>
      </c>
      <c r="E109" s="456" t="s">
        <v>865</v>
      </c>
      <c r="F109" s="514">
        <v>70</v>
      </c>
    </row>
    <row r="110" spans="1:7">
      <c r="A110" s="423" t="s">
        <v>164</v>
      </c>
      <c r="B110" s="456" t="s">
        <v>1851</v>
      </c>
      <c r="C110" s="457" t="s">
        <v>1852</v>
      </c>
      <c r="D110" s="518" t="s">
        <v>150</v>
      </c>
      <c r="E110" s="456" t="s">
        <v>865</v>
      </c>
      <c r="F110" s="514">
        <v>20</v>
      </c>
    </row>
    <row r="111" spans="1:7">
      <c r="A111" s="423" t="s">
        <v>167</v>
      </c>
      <c r="B111" s="519" t="s">
        <v>1853</v>
      </c>
      <c r="C111" s="457" t="s">
        <v>1749</v>
      </c>
      <c r="D111" s="518" t="s">
        <v>1854</v>
      </c>
      <c r="E111" s="456" t="s">
        <v>1855</v>
      </c>
      <c r="F111" s="463">
        <f>F115+1.47</f>
        <v>3.9699999999999998</v>
      </c>
    </row>
    <row r="112" spans="1:7">
      <c r="A112" s="423" t="s">
        <v>204</v>
      </c>
      <c r="B112" s="519" t="s">
        <v>884</v>
      </c>
      <c r="C112" s="457" t="s">
        <v>1856</v>
      </c>
      <c r="D112" s="518" t="s">
        <v>1667</v>
      </c>
      <c r="E112" s="456" t="s">
        <v>1817</v>
      </c>
      <c r="F112" s="463" t="e">
        <f ca="1">_xll.H_PT($F$111,$F$110)</f>
        <v>#NAME?</v>
      </c>
    </row>
    <row r="113" spans="1:8">
      <c r="A113" s="423" t="s">
        <v>209</v>
      </c>
      <c r="B113" s="519" t="s">
        <v>1857</v>
      </c>
      <c r="C113" s="457" t="s">
        <v>1858</v>
      </c>
      <c r="D113" s="518" t="s">
        <v>1820</v>
      </c>
      <c r="E113" s="456" t="s">
        <v>1859</v>
      </c>
      <c r="F113" s="520" t="e">
        <f ca="1">(F108-F116)*F109/(F116-F112+F118*(F117-F116))</f>
        <v>#NAME?</v>
      </c>
    </row>
    <row r="114" spans="1:8">
      <c r="A114" s="423" t="s">
        <v>164</v>
      </c>
      <c r="B114" s="456" t="s">
        <v>1860</v>
      </c>
      <c r="C114" s="457" t="s">
        <v>1861</v>
      </c>
      <c r="D114" s="518" t="s">
        <v>1841</v>
      </c>
      <c r="E114" s="456" t="s">
        <v>1842</v>
      </c>
      <c r="F114" s="514">
        <v>350</v>
      </c>
    </row>
    <row r="115" spans="1:8">
      <c r="A115" s="423" t="s">
        <v>167</v>
      </c>
      <c r="B115" s="519" t="s">
        <v>1843</v>
      </c>
      <c r="C115" s="457" t="s">
        <v>1862</v>
      </c>
      <c r="D115" s="518" t="s">
        <v>1845</v>
      </c>
      <c r="E115" s="456" t="s">
        <v>1842</v>
      </c>
      <c r="F115" s="514">
        <v>2.5</v>
      </c>
    </row>
    <row r="116" spans="1:8">
      <c r="A116" s="423" t="s">
        <v>204</v>
      </c>
      <c r="B116" s="519" t="s">
        <v>1846</v>
      </c>
      <c r="C116" s="457" t="s">
        <v>1863</v>
      </c>
      <c r="D116" s="518" t="s">
        <v>1848</v>
      </c>
      <c r="E116" s="456" t="s">
        <v>1849</v>
      </c>
      <c r="F116" s="463" t="e">
        <f ca="1">_xll.H_PT($F$115,$F$114)</f>
        <v>#NAME?</v>
      </c>
    </row>
    <row r="117" spans="1:8">
      <c r="A117" s="423" t="s">
        <v>209</v>
      </c>
      <c r="B117" s="519" t="s">
        <v>1846</v>
      </c>
      <c r="C117" s="457" t="s">
        <v>1864</v>
      </c>
      <c r="D117" s="518" t="s">
        <v>1848</v>
      </c>
      <c r="E117" s="456" t="s">
        <v>1865</v>
      </c>
      <c r="F117" s="463" t="e">
        <f ca="1">_xll.HL_P($F$115)</f>
        <v>#NAME?</v>
      </c>
    </row>
    <row r="118" spans="1:8">
      <c r="A118" s="423" t="s">
        <v>212</v>
      </c>
      <c r="B118" s="519" t="s">
        <v>1866</v>
      </c>
      <c r="C118" s="457" t="s">
        <v>1867</v>
      </c>
      <c r="D118" s="518"/>
      <c r="E118" s="456" t="s">
        <v>1868</v>
      </c>
      <c r="F118" s="514">
        <v>0.35</v>
      </c>
    </row>
    <row r="119" spans="1:8">
      <c r="A119" s="423" t="s">
        <v>216</v>
      </c>
      <c r="B119" s="519" t="s">
        <v>1857</v>
      </c>
      <c r="C119" s="457" t="s">
        <v>1869</v>
      </c>
      <c r="D119" s="518" t="s">
        <v>1820</v>
      </c>
      <c r="E119" s="456" t="s">
        <v>1870</v>
      </c>
      <c r="F119" s="520" t="e">
        <f ca="1">F109+F113*(1-F118)</f>
        <v>#NAME?</v>
      </c>
    </row>
    <row r="120" spans="1:8">
      <c r="A120" s="427" t="s">
        <v>1871</v>
      </c>
    </row>
    <row r="121" spans="1:8">
      <c r="A121" s="423" t="s">
        <v>148</v>
      </c>
      <c r="B121" s="456" t="s">
        <v>1872</v>
      </c>
      <c r="C121" s="456" t="s">
        <v>1873</v>
      </c>
      <c r="D121" s="456" t="s">
        <v>1845</v>
      </c>
      <c r="E121" s="456" t="s">
        <v>1842</v>
      </c>
      <c r="F121" s="514">
        <v>2.2000000000000002</v>
      </c>
      <c r="H121" s="521" t="s">
        <v>1874</v>
      </c>
    </row>
    <row r="122" spans="1:8">
      <c r="A122" s="423" t="s">
        <v>152</v>
      </c>
      <c r="B122" s="456" t="s">
        <v>1875</v>
      </c>
      <c r="C122" s="456" t="s">
        <v>1862</v>
      </c>
      <c r="D122" s="456" t="s">
        <v>1845</v>
      </c>
      <c r="E122" s="456" t="s">
        <v>1842</v>
      </c>
      <c r="F122" s="514">
        <v>1.45</v>
      </c>
      <c r="H122" s="521" t="s">
        <v>1876</v>
      </c>
    </row>
    <row r="123" spans="1:8">
      <c r="A123" s="423" t="s">
        <v>156</v>
      </c>
      <c r="B123" s="456" t="s">
        <v>1877</v>
      </c>
      <c r="C123" s="456" t="s">
        <v>1878</v>
      </c>
      <c r="D123" s="456" t="s">
        <v>1848</v>
      </c>
      <c r="E123" s="456" t="s">
        <v>1849</v>
      </c>
      <c r="F123" s="463" t="e">
        <f ca="1">_xll.HL_P($F$121)</f>
        <v>#NAME?</v>
      </c>
      <c r="H123" s="521" t="s">
        <v>1879</v>
      </c>
    </row>
    <row r="124" spans="1:8">
      <c r="A124" s="423" t="s">
        <v>160</v>
      </c>
      <c r="B124" s="456" t="s">
        <v>1880</v>
      </c>
      <c r="C124" s="456" t="s">
        <v>1864</v>
      </c>
      <c r="D124" s="456" t="s">
        <v>1848</v>
      </c>
      <c r="E124" s="456" t="s">
        <v>1849</v>
      </c>
      <c r="F124" s="463" t="e">
        <f ca="1">_xll.HL_P(F122)</f>
        <v>#NAME?</v>
      </c>
    </row>
    <row r="125" spans="1:8">
      <c r="A125" s="423" t="s">
        <v>164</v>
      </c>
      <c r="B125" s="456" t="s">
        <v>1881</v>
      </c>
      <c r="C125" s="456" t="s">
        <v>1882</v>
      </c>
      <c r="D125" s="456" t="s">
        <v>1848</v>
      </c>
      <c r="E125" s="456" t="s">
        <v>1849</v>
      </c>
      <c r="F125" s="463" t="e">
        <f ca="1">_xll.HG_P($F$121)</f>
        <v>#NAME?</v>
      </c>
    </row>
    <row r="126" spans="1:8">
      <c r="A126" s="423" t="s">
        <v>167</v>
      </c>
      <c r="B126" s="456" t="s">
        <v>1883</v>
      </c>
      <c r="C126" s="456" t="s">
        <v>1884</v>
      </c>
      <c r="D126" s="456" t="s">
        <v>1848</v>
      </c>
      <c r="E126" s="456" t="s">
        <v>1849</v>
      </c>
      <c r="F126" s="463" t="e">
        <f ca="1">_xll.HG_P($F$122)</f>
        <v>#NAME?</v>
      </c>
    </row>
    <row r="127" spans="1:8">
      <c r="A127" s="423" t="s">
        <v>204</v>
      </c>
      <c r="B127" s="522" t="s">
        <v>1885</v>
      </c>
      <c r="C127" s="456" t="s">
        <v>1886</v>
      </c>
      <c r="D127" s="456" t="s">
        <v>1887</v>
      </c>
      <c r="E127" s="456" t="s">
        <v>1888</v>
      </c>
      <c r="F127" s="520" t="e">
        <f ca="1">(F123-F124)/((F125+F126)/2-F124)</f>
        <v>#NAME?</v>
      </c>
    </row>
    <row r="128" spans="1:8">
      <c r="A128" s="423" t="s">
        <v>209</v>
      </c>
      <c r="B128" s="456" t="s">
        <v>1889</v>
      </c>
      <c r="C128" s="456" t="s">
        <v>1890</v>
      </c>
      <c r="D128" s="456" t="s">
        <v>1891</v>
      </c>
      <c r="E128" s="456" t="s">
        <v>1849</v>
      </c>
      <c r="F128" s="519" t="e">
        <f ca="1">_xll.VL_P($F$121)</f>
        <v>#NAME?</v>
      </c>
    </row>
    <row r="129" spans="1:6">
      <c r="A129" s="423" t="s">
        <v>212</v>
      </c>
      <c r="B129" s="522" t="s">
        <v>1892</v>
      </c>
      <c r="C129" s="456" t="s">
        <v>1893</v>
      </c>
      <c r="D129" s="456" t="s">
        <v>1816</v>
      </c>
      <c r="E129" s="456" t="s">
        <v>1894</v>
      </c>
      <c r="F129" s="520" t="e">
        <f ca="1">F127/F128</f>
        <v>#NAME?</v>
      </c>
    </row>
    <row r="130" spans="1:6">
      <c r="A130" s="423" t="s">
        <v>216</v>
      </c>
      <c r="B130" s="456" t="s">
        <v>1895</v>
      </c>
      <c r="C130" s="456" t="s">
        <v>1688</v>
      </c>
      <c r="D130" s="456"/>
      <c r="E130" s="456" t="s">
        <v>1896</v>
      </c>
      <c r="F130" s="519">
        <v>0.95</v>
      </c>
    </row>
    <row r="131" spans="1:6">
      <c r="A131" s="423" t="s">
        <v>217</v>
      </c>
      <c r="B131" s="456" t="s">
        <v>1897</v>
      </c>
      <c r="C131" s="456" t="s">
        <v>1768</v>
      </c>
      <c r="D131" s="456"/>
      <c r="E131" s="456" t="s">
        <v>1898</v>
      </c>
      <c r="F131" s="519">
        <v>0.85</v>
      </c>
    </row>
    <row r="132" spans="1:6">
      <c r="A132" s="423" t="s">
        <v>219</v>
      </c>
      <c r="B132" s="523" t="s">
        <v>1899</v>
      </c>
      <c r="C132" s="456" t="s">
        <v>1900</v>
      </c>
      <c r="D132" s="456" t="s">
        <v>151</v>
      </c>
      <c r="E132" s="456" t="s">
        <v>1901</v>
      </c>
      <c r="F132" s="514">
        <v>30.8</v>
      </c>
    </row>
    <row r="133" spans="1:6">
      <c r="A133" s="423" t="s">
        <v>222</v>
      </c>
      <c r="B133" s="523" t="s">
        <v>1902</v>
      </c>
      <c r="C133" s="456" t="s">
        <v>287</v>
      </c>
      <c r="D133" s="456" t="s">
        <v>1903</v>
      </c>
      <c r="E133" s="456" t="s">
        <v>1904</v>
      </c>
      <c r="F133" s="520" t="e">
        <f ca="1">F132*1000/(F129*F130*F131)</f>
        <v>#NAME?</v>
      </c>
    </row>
    <row r="134" spans="1:6">
      <c r="A134" s="423" t="s">
        <v>227</v>
      </c>
      <c r="B134" s="456" t="s">
        <v>1905</v>
      </c>
      <c r="C134" s="519" t="s">
        <v>1906</v>
      </c>
      <c r="D134" s="456" t="s">
        <v>1903</v>
      </c>
      <c r="E134" s="519" t="s">
        <v>1907</v>
      </c>
      <c r="F134" s="524" t="e">
        <f ca="1">(1-F131)*F133</f>
        <v>#NAME?</v>
      </c>
    </row>
    <row r="135" spans="1:6">
      <c r="A135" s="423" t="s">
        <v>230</v>
      </c>
      <c r="B135" s="456" t="s">
        <v>1908</v>
      </c>
      <c r="C135" s="519" t="s">
        <v>1909</v>
      </c>
      <c r="D135" s="519" t="s">
        <v>257</v>
      </c>
      <c r="E135" s="456" t="s">
        <v>865</v>
      </c>
      <c r="F135" s="519"/>
    </row>
    <row r="136" spans="1:6">
      <c r="A136" s="423" t="s">
        <v>231</v>
      </c>
      <c r="B136" s="456" t="s">
        <v>1910</v>
      </c>
      <c r="C136" s="519" t="s">
        <v>1911</v>
      </c>
      <c r="D136" s="519" t="s">
        <v>257</v>
      </c>
      <c r="E136" s="456" t="s">
        <v>865</v>
      </c>
      <c r="F136" s="519"/>
    </row>
    <row r="137" spans="1:6">
      <c r="A137" s="423" t="s">
        <v>883</v>
      </c>
      <c r="B137" s="456" t="s">
        <v>1912</v>
      </c>
      <c r="C137" s="519" t="s">
        <v>1807</v>
      </c>
      <c r="D137" s="519" t="s">
        <v>257</v>
      </c>
      <c r="E137" s="456" t="s">
        <v>1913</v>
      </c>
      <c r="F137" s="519">
        <f>F135-F136</f>
        <v>0</v>
      </c>
    </row>
    <row r="138" spans="1:6">
      <c r="A138" s="423" t="s">
        <v>886</v>
      </c>
      <c r="B138" s="456" t="s">
        <v>1914</v>
      </c>
      <c r="C138" s="519" t="s">
        <v>1915</v>
      </c>
      <c r="D138" s="519" t="s">
        <v>1916</v>
      </c>
      <c r="E138" s="456" t="s">
        <v>1917</v>
      </c>
      <c r="F138" s="519" t="e">
        <f ca="1">F137/F134</f>
        <v>#NAME?</v>
      </c>
    </row>
    <row r="139" spans="1:6">
      <c r="A139" s="423" t="s">
        <v>888</v>
      </c>
      <c r="B139" s="456" t="s">
        <v>1918</v>
      </c>
      <c r="C139" s="456" t="s">
        <v>1919</v>
      </c>
      <c r="D139" s="456"/>
      <c r="E139" s="456" t="s">
        <v>1817</v>
      </c>
      <c r="F139" s="456"/>
    </row>
    <row r="140" spans="1:6">
      <c r="A140" s="423" t="s">
        <v>892</v>
      </c>
      <c r="B140" s="522" t="s">
        <v>1920</v>
      </c>
      <c r="C140" s="456" t="s">
        <v>1921</v>
      </c>
      <c r="D140" s="456" t="s">
        <v>1903</v>
      </c>
      <c r="E140" s="456" t="s">
        <v>1922</v>
      </c>
      <c r="F140" s="520" t="e">
        <f ca="1">F132*1000/F129</f>
        <v>#NAME?</v>
      </c>
    </row>
    <row r="141" spans="1:6">
      <c r="A141" s="423" t="s">
        <v>895</v>
      </c>
      <c r="B141" s="456" t="s">
        <v>1923</v>
      </c>
      <c r="C141" s="456" t="s">
        <v>1924</v>
      </c>
      <c r="D141" s="456" t="s">
        <v>1702</v>
      </c>
      <c r="E141" s="456" t="s">
        <v>1817</v>
      </c>
      <c r="F141" s="456" t="e">
        <f ca="1">_xll.VL_P(F122)</f>
        <v>#NAME?</v>
      </c>
    </row>
    <row r="142" spans="1:6">
      <c r="A142" s="423" t="s">
        <v>896</v>
      </c>
      <c r="B142" s="522" t="s">
        <v>1925</v>
      </c>
      <c r="C142" s="456" t="s">
        <v>1926</v>
      </c>
      <c r="D142" s="456" t="s">
        <v>1903</v>
      </c>
      <c r="E142" s="456" t="s">
        <v>1927</v>
      </c>
      <c r="F142" s="520" t="e">
        <f ca="1">(F140/F128-F132*1000)*F141</f>
        <v>#NAME?</v>
      </c>
    </row>
    <row r="143" spans="1:6">
      <c r="A143" s="423" t="s">
        <v>897</v>
      </c>
      <c r="B143" s="456"/>
      <c r="C143" s="456"/>
      <c r="D143" s="456"/>
      <c r="E143" s="456"/>
      <c r="F143" s="456"/>
    </row>
  </sheetData>
  <mergeCells count="6">
    <mergeCell ref="C26:F26"/>
    <mergeCell ref="C43:F43"/>
    <mergeCell ref="C71:F71"/>
    <mergeCell ref="B80:B83"/>
    <mergeCell ref="E87:F87"/>
    <mergeCell ref="B92:B93"/>
  </mergeCells>
  <phoneticPr fontId="1" type="noConversion"/>
  <pageMargins left="0.75" right="0.75" top="1" bottom="1" header="0.5" footer="0.5"/>
  <pageSetup paperSize="9" orientation="portrait" horizontalDpi="96" verticalDpi="96" r:id="rId1"/>
  <headerFooter alignWithMargins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-0.249977111117893"/>
  </sheetPr>
  <dimension ref="A1:J90"/>
  <sheetViews>
    <sheetView topLeftCell="A43" zoomScale="90" zoomScaleNormal="90" workbookViewId="0">
      <selection activeCell="H66" sqref="H66"/>
    </sheetView>
  </sheetViews>
  <sheetFormatPr defaultRowHeight="13.5"/>
  <cols>
    <col min="2" max="2" width="21.25" customWidth="1"/>
    <col min="5" max="5" width="13.375" customWidth="1"/>
    <col min="6" max="6" width="15" style="178" bestFit="1" customWidth="1"/>
    <col min="7" max="7" width="9.875" customWidth="1"/>
    <col min="8" max="8" width="33.625" customWidth="1"/>
  </cols>
  <sheetData>
    <row r="1" spans="1:8" ht="14.25">
      <c r="A1" s="25" t="s">
        <v>757</v>
      </c>
      <c r="B1" s="25"/>
      <c r="C1" s="25" t="s">
        <v>866</v>
      </c>
      <c r="D1" s="25"/>
      <c r="E1" s="25"/>
      <c r="F1" s="176"/>
    </row>
    <row r="2" spans="1:8">
      <c r="A2" s="155" t="s">
        <v>148</v>
      </c>
      <c r="B2" s="28" t="s">
        <v>190</v>
      </c>
      <c r="C2" s="28" t="s">
        <v>191</v>
      </c>
      <c r="D2" s="28" t="s">
        <v>192</v>
      </c>
      <c r="E2" s="28" t="s">
        <v>193</v>
      </c>
      <c r="F2" s="158" t="s">
        <v>1294</v>
      </c>
      <c r="G2" s="308" t="s">
        <v>1295</v>
      </c>
    </row>
    <row r="3" spans="1:8">
      <c r="A3" s="155" t="s">
        <v>152</v>
      </c>
      <c r="B3" s="28" t="s">
        <v>255</v>
      </c>
      <c r="C3" s="28" t="s">
        <v>256</v>
      </c>
      <c r="D3" s="28" t="s">
        <v>257</v>
      </c>
      <c r="E3" s="28"/>
      <c r="F3" s="158">
        <f>锅炉计算!G30/1000</f>
        <v>31.334916562830671</v>
      </c>
      <c r="G3" s="308">
        <f>锅炉计算!H30/1000</f>
        <v>19.623458420826665</v>
      </c>
      <c r="H3" s="335" t="s">
        <v>1965</v>
      </c>
    </row>
    <row r="4" spans="1:8">
      <c r="A4" s="155" t="s">
        <v>156</v>
      </c>
      <c r="B4" s="28" t="s">
        <v>758</v>
      </c>
      <c r="C4" s="28" t="s">
        <v>759</v>
      </c>
      <c r="D4" s="28" t="s">
        <v>760</v>
      </c>
      <c r="E4" s="28" t="s">
        <v>761</v>
      </c>
      <c r="F4" s="156">
        <v>22</v>
      </c>
      <c r="G4" s="156">
        <v>22</v>
      </c>
      <c r="H4" s="345" t="s">
        <v>1399</v>
      </c>
    </row>
    <row r="5" spans="1:8">
      <c r="A5" s="155" t="s">
        <v>160</v>
      </c>
      <c r="B5" s="28" t="s">
        <v>762</v>
      </c>
      <c r="C5" s="28" t="s">
        <v>763</v>
      </c>
      <c r="D5" s="28" t="s">
        <v>764</v>
      </c>
      <c r="E5" s="28" t="s">
        <v>765</v>
      </c>
      <c r="F5" s="19">
        <f>F3*F4</f>
        <v>689.3681643822747</v>
      </c>
      <c r="G5" s="19">
        <f>G3*G4</f>
        <v>431.71608525818664</v>
      </c>
      <c r="H5" s="335" t="s">
        <v>1379</v>
      </c>
    </row>
    <row r="6" spans="1:8">
      <c r="A6" s="155" t="s">
        <v>164</v>
      </c>
      <c r="B6" s="28" t="s">
        <v>766</v>
      </c>
      <c r="C6" s="28" t="s">
        <v>767</v>
      </c>
      <c r="D6" s="28" t="s">
        <v>263</v>
      </c>
      <c r="E6" s="28">
        <v>7260</v>
      </c>
      <c r="F6" s="181">
        <v>7260</v>
      </c>
      <c r="G6" s="181">
        <v>7260</v>
      </c>
      <c r="H6" s="345" t="s">
        <v>1399</v>
      </c>
    </row>
    <row r="7" spans="1:8">
      <c r="A7" s="155" t="s">
        <v>167</v>
      </c>
      <c r="B7" s="28" t="s">
        <v>768</v>
      </c>
      <c r="C7" s="28" t="s">
        <v>769</v>
      </c>
      <c r="D7" s="28" t="s">
        <v>1257</v>
      </c>
      <c r="E7" s="28" t="s">
        <v>770</v>
      </c>
      <c r="F7" s="297">
        <f>F6*F3/10000</f>
        <v>22.749149424615066</v>
      </c>
      <c r="G7" s="297">
        <f>G6*G3/10000</f>
        <v>14.246630813520159</v>
      </c>
      <c r="H7" s="335" t="s">
        <v>1379</v>
      </c>
    </row>
    <row r="8" spans="1:8">
      <c r="A8" s="155" t="s">
        <v>204</v>
      </c>
      <c r="B8" s="28" t="s">
        <v>1293</v>
      </c>
      <c r="C8" s="28" t="s">
        <v>771</v>
      </c>
      <c r="D8" s="28"/>
      <c r="E8" s="28" t="s">
        <v>772</v>
      </c>
      <c r="F8" s="160">
        <v>1.3</v>
      </c>
      <c r="G8" s="309">
        <v>1.3</v>
      </c>
      <c r="H8" s="345" t="s">
        <v>1399</v>
      </c>
    </row>
    <row r="9" spans="1:8">
      <c r="A9" s="155" t="s">
        <v>209</v>
      </c>
      <c r="B9" s="28" t="s">
        <v>773</v>
      </c>
      <c r="C9" s="28" t="s">
        <v>774</v>
      </c>
      <c r="D9" s="28" t="s">
        <v>775</v>
      </c>
      <c r="E9" s="28" t="s">
        <v>776</v>
      </c>
      <c r="F9" s="177">
        <f>F8*F5</f>
        <v>896.17861369695709</v>
      </c>
      <c r="G9" s="177">
        <f>G8*G5</f>
        <v>561.2309108356427</v>
      </c>
      <c r="H9" s="335" t="s">
        <v>1379</v>
      </c>
    </row>
    <row r="10" spans="1:8">
      <c r="A10" s="155" t="s">
        <v>212</v>
      </c>
      <c r="B10" s="28" t="s">
        <v>777</v>
      </c>
      <c r="C10" s="28" t="s">
        <v>774</v>
      </c>
      <c r="D10" s="28" t="s">
        <v>775</v>
      </c>
      <c r="E10" s="28" t="s">
        <v>778</v>
      </c>
      <c r="F10" s="177">
        <f>F8*F7*10000*F4/F6</f>
        <v>896.17861369695709</v>
      </c>
      <c r="G10" s="177">
        <f>G8*G7*10000*G4/G6</f>
        <v>561.23091083564259</v>
      </c>
      <c r="H10" s="335" t="s">
        <v>1379</v>
      </c>
    </row>
    <row r="11" spans="1:8" ht="14.25">
      <c r="A11" s="25" t="s">
        <v>1269</v>
      </c>
    </row>
    <row r="12" spans="1:8">
      <c r="A12" s="18" t="s">
        <v>148</v>
      </c>
      <c r="B12" s="28" t="s">
        <v>232</v>
      </c>
      <c r="C12" s="28" t="s">
        <v>233</v>
      </c>
      <c r="D12" s="28" t="s">
        <v>234</v>
      </c>
      <c r="E12" s="28" t="s">
        <v>235</v>
      </c>
      <c r="F12" s="308" t="s">
        <v>1294</v>
      </c>
      <c r="G12" s="308" t="s">
        <v>1295</v>
      </c>
    </row>
    <row r="13" spans="1:8" ht="14.25" customHeight="1">
      <c r="A13" s="18" t="s">
        <v>152</v>
      </c>
      <c r="B13" s="28" t="s">
        <v>780</v>
      </c>
      <c r="C13" s="28" t="s">
        <v>266</v>
      </c>
      <c r="D13" s="28" t="s">
        <v>262</v>
      </c>
      <c r="E13" s="28"/>
      <c r="F13" s="158">
        <f>F3</f>
        <v>31.334916562830671</v>
      </c>
      <c r="G13" s="308">
        <f>2*G3</f>
        <v>39.246916841653331</v>
      </c>
      <c r="H13" s="335" t="s">
        <v>1379</v>
      </c>
    </row>
    <row r="14" spans="1:8">
      <c r="A14" s="157" t="s">
        <v>156</v>
      </c>
      <c r="B14" s="28" t="s">
        <v>781</v>
      </c>
      <c r="C14" s="28" t="s">
        <v>782</v>
      </c>
      <c r="D14" s="28" t="s">
        <v>783</v>
      </c>
      <c r="E14" s="28">
        <v>22</v>
      </c>
      <c r="F14" s="158">
        <v>22</v>
      </c>
      <c r="G14" s="308">
        <v>22</v>
      </c>
      <c r="H14" s="345" t="s">
        <v>1399</v>
      </c>
    </row>
    <row r="15" spans="1:8">
      <c r="A15" s="157" t="s">
        <v>160</v>
      </c>
      <c r="B15" s="28" t="s">
        <v>784</v>
      </c>
      <c r="C15" s="28" t="s">
        <v>785</v>
      </c>
      <c r="D15" s="378" t="s">
        <v>1296</v>
      </c>
      <c r="E15" s="379"/>
      <c r="F15" s="158">
        <v>10</v>
      </c>
      <c r="G15" s="308">
        <v>10</v>
      </c>
      <c r="H15" s="345" t="s">
        <v>1399</v>
      </c>
    </row>
    <row r="16" spans="1:8">
      <c r="A16" s="309" t="s">
        <v>164</v>
      </c>
      <c r="B16" s="28" t="s">
        <v>1297</v>
      </c>
      <c r="C16" s="310" t="s">
        <v>267</v>
      </c>
      <c r="D16" s="310" t="s">
        <v>183</v>
      </c>
      <c r="E16" s="28"/>
      <c r="F16" s="183">
        <f>F13*F14*F15</f>
        <v>6893.681643822747</v>
      </c>
      <c r="G16" s="183">
        <f>G13*G14*G15</f>
        <v>8634.321705163733</v>
      </c>
      <c r="H16" s="335" t="s">
        <v>1379</v>
      </c>
    </row>
    <row r="17" spans="1:8">
      <c r="A17" s="309" t="s">
        <v>167</v>
      </c>
      <c r="B17" s="28" t="s">
        <v>1298</v>
      </c>
      <c r="C17" s="300" t="s">
        <v>1285</v>
      </c>
      <c r="D17" s="300" t="s">
        <v>1286</v>
      </c>
      <c r="E17" s="28" t="s">
        <v>1287</v>
      </c>
      <c r="F17" s="346">
        <f>F13*F14*5</f>
        <v>3446.8408219113735</v>
      </c>
      <c r="G17" s="180">
        <f>G13*G14*8</f>
        <v>6907.4573641309862</v>
      </c>
    </row>
    <row r="18" spans="1:8">
      <c r="A18" s="309" t="s">
        <v>204</v>
      </c>
      <c r="B18" s="28" t="s">
        <v>268</v>
      </c>
      <c r="C18" s="28" t="s">
        <v>269</v>
      </c>
      <c r="D18" s="28" t="s">
        <v>270</v>
      </c>
      <c r="E18" s="28" t="s">
        <v>271</v>
      </c>
      <c r="F18" s="158">
        <v>1.5</v>
      </c>
      <c r="G18" s="308">
        <v>1.5</v>
      </c>
      <c r="H18" s="345" t="s">
        <v>1399</v>
      </c>
    </row>
    <row r="19" spans="1:8">
      <c r="A19" s="309" t="s">
        <v>209</v>
      </c>
      <c r="B19" s="28" t="s">
        <v>272</v>
      </c>
      <c r="C19" s="28" t="s">
        <v>259</v>
      </c>
      <c r="D19" s="28" t="s">
        <v>260</v>
      </c>
      <c r="E19" s="28" t="s">
        <v>1299</v>
      </c>
      <c r="F19" s="158">
        <v>0.8</v>
      </c>
      <c r="G19" s="308">
        <v>0.8</v>
      </c>
      <c r="H19" s="345" t="s">
        <v>1399</v>
      </c>
    </row>
    <row r="20" spans="1:8">
      <c r="A20" s="309" t="s">
        <v>212</v>
      </c>
      <c r="B20" s="28" t="s">
        <v>273</v>
      </c>
      <c r="C20" s="28" t="s">
        <v>274</v>
      </c>
      <c r="D20" s="28" t="s">
        <v>275</v>
      </c>
      <c r="E20" s="39" t="s">
        <v>276</v>
      </c>
      <c r="F20" s="19">
        <v>3</v>
      </c>
      <c r="G20" s="19">
        <v>6</v>
      </c>
      <c r="H20" s="345" t="s">
        <v>1399</v>
      </c>
    </row>
    <row r="21" spans="1:8">
      <c r="A21" s="309" t="s">
        <v>216</v>
      </c>
      <c r="B21" s="28" t="s">
        <v>277</v>
      </c>
      <c r="C21" s="28" t="s">
        <v>278</v>
      </c>
      <c r="D21" s="28" t="s">
        <v>279</v>
      </c>
      <c r="E21" s="28" t="s">
        <v>1283</v>
      </c>
      <c r="F21" s="158">
        <v>0.8</v>
      </c>
      <c r="G21" s="308">
        <v>0.9</v>
      </c>
      <c r="H21" s="345" t="s">
        <v>1399</v>
      </c>
    </row>
    <row r="22" spans="1:8">
      <c r="A22" s="309" t="s">
        <v>217</v>
      </c>
      <c r="B22" s="28" t="s">
        <v>280</v>
      </c>
      <c r="C22" s="28" t="s">
        <v>281</v>
      </c>
      <c r="D22" s="28" t="s">
        <v>282</v>
      </c>
      <c r="E22" s="28" t="s">
        <v>786</v>
      </c>
      <c r="F22" s="180">
        <f>F13*F14*F18*F15/F19/F20/F21</f>
        <v>5385.6887842365204</v>
      </c>
      <c r="G22" s="180">
        <f>G13*G14*G18*G15/G19/G20/G21</f>
        <v>2998.0283698485182</v>
      </c>
      <c r="H22" s="335" t="s">
        <v>1379</v>
      </c>
    </row>
    <row r="23" spans="1:8">
      <c r="A23" s="309" t="s">
        <v>219</v>
      </c>
      <c r="B23" s="28" t="s">
        <v>283</v>
      </c>
      <c r="C23" s="28" t="s">
        <v>285</v>
      </c>
      <c r="D23" s="28" t="s">
        <v>275</v>
      </c>
      <c r="E23" s="28"/>
      <c r="F23" s="180">
        <v>50</v>
      </c>
      <c r="G23" s="180">
        <v>70</v>
      </c>
      <c r="H23" s="345" t="s">
        <v>1400</v>
      </c>
    </row>
    <row r="24" spans="1:8">
      <c r="A24" s="309" t="s">
        <v>222</v>
      </c>
      <c r="B24" s="28" t="s">
        <v>284</v>
      </c>
      <c r="C24" s="28" t="s">
        <v>286</v>
      </c>
      <c r="D24" s="28" t="s">
        <v>275</v>
      </c>
      <c r="E24" s="28"/>
      <c r="F24" s="180">
        <f>F22/F23</f>
        <v>107.71377568473041</v>
      </c>
      <c r="G24" s="180">
        <f>G22/G23</f>
        <v>42.828976712121687</v>
      </c>
      <c r="H24" s="335" t="s">
        <v>1379</v>
      </c>
    </row>
    <row r="25" spans="1:8" ht="14.25">
      <c r="A25" s="25" t="s">
        <v>787</v>
      </c>
      <c r="G25" s="178"/>
    </row>
    <row r="26" spans="1:8">
      <c r="A26" s="18" t="s">
        <v>148</v>
      </c>
      <c r="B26" s="28" t="s">
        <v>232</v>
      </c>
      <c r="C26" s="28" t="s">
        <v>233</v>
      </c>
      <c r="D26" s="28" t="s">
        <v>234</v>
      </c>
      <c r="E26" s="28" t="s">
        <v>235</v>
      </c>
      <c r="F26" s="308" t="s">
        <v>1294</v>
      </c>
      <c r="G26" s="308" t="s">
        <v>1295</v>
      </c>
    </row>
    <row r="27" spans="1:8">
      <c r="A27" s="18" t="s">
        <v>152</v>
      </c>
      <c r="B27" s="28" t="s">
        <v>1301</v>
      </c>
      <c r="C27" s="28" t="s">
        <v>287</v>
      </c>
      <c r="D27" s="28" t="s">
        <v>288</v>
      </c>
      <c r="E27" s="28" t="s">
        <v>289</v>
      </c>
      <c r="F27" s="19">
        <f>10*F3/F28/F21</f>
        <v>195.84322851769167</v>
      </c>
      <c r="G27" s="19">
        <f>10*G3/G28/G21</f>
        <v>109.01921344903703</v>
      </c>
      <c r="H27" s="335" t="s">
        <v>1379</v>
      </c>
    </row>
    <row r="28" spans="1:8">
      <c r="A28" s="311" t="s">
        <v>156</v>
      </c>
      <c r="B28" s="28" t="s">
        <v>1302</v>
      </c>
      <c r="C28" s="28" t="s">
        <v>1303</v>
      </c>
      <c r="D28" s="28"/>
      <c r="E28" s="28" t="s">
        <v>1304</v>
      </c>
      <c r="F28" s="28">
        <v>2</v>
      </c>
      <c r="G28" s="28">
        <v>2</v>
      </c>
      <c r="H28" s="345" t="s">
        <v>1399</v>
      </c>
    </row>
    <row r="29" spans="1:8">
      <c r="A29" s="311" t="s">
        <v>160</v>
      </c>
      <c r="B29" s="28" t="s">
        <v>1305</v>
      </c>
      <c r="C29" s="28" t="s">
        <v>1306</v>
      </c>
      <c r="D29" s="28" t="s">
        <v>1307</v>
      </c>
      <c r="E29" s="28"/>
      <c r="F29" s="28">
        <v>220</v>
      </c>
      <c r="G29" s="28">
        <v>220</v>
      </c>
      <c r="H29" s="347" t="s">
        <v>1414</v>
      </c>
    </row>
    <row r="30" spans="1:8">
      <c r="A30" s="311" t="s">
        <v>164</v>
      </c>
      <c r="B30" s="28" t="s">
        <v>1308</v>
      </c>
      <c r="C30" s="28"/>
      <c r="D30" s="28"/>
      <c r="E30" s="28"/>
      <c r="F30" s="293">
        <f>F29*F21*F28/F3</f>
        <v>11.233474941418569</v>
      </c>
      <c r="G30" s="293">
        <f>G29*G21*G28/G3</f>
        <v>20.179929118901864</v>
      </c>
      <c r="H30" s="335" t="s">
        <v>1401</v>
      </c>
    </row>
    <row r="31" spans="1:8" ht="14.25">
      <c r="A31" s="25" t="s">
        <v>793</v>
      </c>
      <c r="B31" s="25"/>
      <c r="C31" s="25"/>
      <c r="D31" s="25"/>
      <c r="E31" s="25"/>
      <c r="F31" s="176"/>
    </row>
    <row r="32" spans="1:8">
      <c r="A32" s="18" t="s">
        <v>148</v>
      </c>
      <c r="B32" s="28" t="s">
        <v>232</v>
      </c>
      <c r="C32" s="28" t="s">
        <v>233</v>
      </c>
      <c r="D32" s="28" t="s">
        <v>234</v>
      </c>
      <c r="E32" s="28" t="s">
        <v>235</v>
      </c>
      <c r="F32" s="308" t="s">
        <v>1294</v>
      </c>
      <c r="G32" s="308" t="s">
        <v>1295</v>
      </c>
    </row>
    <row r="33" spans="1:10">
      <c r="A33" s="18" t="s">
        <v>152</v>
      </c>
      <c r="B33" s="28" t="s">
        <v>255</v>
      </c>
      <c r="C33" s="28" t="s">
        <v>256</v>
      </c>
      <c r="D33" s="28" t="s">
        <v>257</v>
      </c>
      <c r="E33" s="28"/>
      <c r="F33" s="158">
        <f>锅炉计算!G30/1000</f>
        <v>31.334916562830671</v>
      </c>
      <c r="G33" s="308">
        <f>锅炉计算!H30/1000</f>
        <v>19.623458420826665</v>
      </c>
      <c r="H33" s="335" t="s">
        <v>1379</v>
      </c>
    </row>
    <row r="34" spans="1:10">
      <c r="A34" s="18" t="s">
        <v>156</v>
      </c>
      <c r="B34" s="28" t="s">
        <v>258</v>
      </c>
      <c r="C34" s="28" t="s">
        <v>259</v>
      </c>
      <c r="D34" s="28" t="s">
        <v>260</v>
      </c>
      <c r="E34" s="28" t="s">
        <v>792</v>
      </c>
      <c r="F34" s="158">
        <v>1.3</v>
      </c>
      <c r="G34" s="308">
        <v>1.3</v>
      </c>
      <c r="H34" s="345" t="s">
        <v>1399</v>
      </c>
    </row>
    <row r="35" spans="1:10">
      <c r="A35" s="18" t="s">
        <v>160</v>
      </c>
      <c r="B35" s="28" t="s">
        <v>261</v>
      </c>
      <c r="C35" s="28" t="s">
        <v>262</v>
      </c>
      <c r="D35" s="28" t="s">
        <v>263</v>
      </c>
      <c r="E35" s="28" t="s">
        <v>264</v>
      </c>
      <c r="F35" s="158">
        <v>12</v>
      </c>
      <c r="G35" s="308">
        <v>12</v>
      </c>
      <c r="H35" s="345" t="s">
        <v>1399</v>
      </c>
    </row>
    <row r="36" spans="1:10">
      <c r="A36" s="18" t="s">
        <v>164</v>
      </c>
      <c r="B36" s="28" t="s">
        <v>265</v>
      </c>
      <c r="C36" s="28" t="s">
        <v>266</v>
      </c>
      <c r="D36" s="28" t="s">
        <v>257</v>
      </c>
      <c r="E36" s="28" t="s">
        <v>779</v>
      </c>
      <c r="F36" s="19">
        <f>22*F33*F34/F35</f>
        <v>74.681551141413095</v>
      </c>
      <c r="G36" s="19">
        <f>22*G33*G34/G35</f>
        <v>46.769242569636894</v>
      </c>
      <c r="H36" s="335" t="s">
        <v>1379</v>
      </c>
      <c r="J36" s="356" t="s">
        <v>1403</v>
      </c>
    </row>
    <row r="37" spans="1:10">
      <c r="A37" s="157" t="s">
        <v>167</v>
      </c>
      <c r="B37" s="28" t="s">
        <v>788</v>
      </c>
      <c r="C37" s="28" t="s">
        <v>769</v>
      </c>
      <c r="D37" s="28" t="s">
        <v>151</v>
      </c>
      <c r="E37" s="28">
        <v>17</v>
      </c>
      <c r="F37" s="158">
        <v>17</v>
      </c>
      <c r="G37" s="308">
        <v>17</v>
      </c>
      <c r="H37" s="345" t="s">
        <v>1399</v>
      </c>
    </row>
    <row r="38" spans="1:10">
      <c r="A38" s="157" t="s">
        <v>204</v>
      </c>
      <c r="B38" s="28" t="s">
        <v>791</v>
      </c>
      <c r="C38" s="28" t="s">
        <v>782</v>
      </c>
      <c r="D38" s="28" t="s">
        <v>783</v>
      </c>
      <c r="E38" s="28">
        <v>6</v>
      </c>
      <c r="F38" s="158">
        <v>6</v>
      </c>
      <c r="G38" s="308">
        <v>6</v>
      </c>
      <c r="H38" s="345" t="s">
        <v>1399</v>
      </c>
    </row>
    <row r="39" spans="1:10">
      <c r="A39" s="157" t="s">
        <v>209</v>
      </c>
      <c r="B39" s="28" t="s">
        <v>789</v>
      </c>
      <c r="C39" s="28" t="s">
        <v>763</v>
      </c>
      <c r="D39" s="28" t="s">
        <v>790</v>
      </c>
      <c r="E39" s="28" t="s">
        <v>794</v>
      </c>
      <c r="F39" s="180">
        <f>F33*F34*2*22</f>
        <v>1792.3572273939144</v>
      </c>
      <c r="G39" s="180">
        <f>G33*G34*2*22</f>
        <v>1122.4618216712854</v>
      </c>
      <c r="H39" s="335" t="s">
        <v>1379</v>
      </c>
    </row>
    <row r="40" spans="1:10">
      <c r="A40" s="315" t="s">
        <v>212</v>
      </c>
      <c r="B40" s="28" t="s">
        <v>1310</v>
      </c>
      <c r="C40" s="28"/>
      <c r="D40" s="28"/>
      <c r="E40" s="28"/>
      <c r="F40" s="180">
        <f>F39/F37</f>
        <v>105.43277808199497</v>
      </c>
      <c r="G40" s="180">
        <f>G39/G37</f>
        <v>66.027165980663852</v>
      </c>
      <c r="H40" s="335" t="s">
        <v>1379</v>
      </c>
    </row>
    <row r="41" spans="1:10">
      <c r="A41" s="315" t="s">
        <v>216</v>
      </c>
      <c r="B41" s="28" t="s">
        <v>795</v>
      </c>
      <c r="C41" s="28" t="s">
        <v>796</v>
      </c>
      <c r="D41" s="28" t="s">
        <v>797</v>
      </c>
      <c r="E41" s="28"/>
      <c r="F41" s="161">
        <f>F40/F38</f>
        <v>17.572129680332495</v>
      </c>
      <c r="G41" s="161">
        <f>G40/G38</f>
        <v>11.004527663443975</v>
      </c>
      <c r="H41" s="335" t="s">
        <v>1379</v>
      </c>
    </row>
    <row r="42" spans="1:10" ht="14.25">
      <c r="A42" s="25" t="s">
        <v>1263</v>
      </c>
    </row>
    <row r="43" spans="1:10" ht="14.25">
      <c r="A43" s="384" t="s">
        <v>1291</v>
      </c>
      <c r="B43" s="385"/>
      <c r="C43" s="385"/>
      <c r="D43" s="385"/>
      <c r="E43" s="385"/>
      <c r="F43" s="386"/>
    </row>
    <row r="44" spans="1:10" ht="14.25">
      <c r="A44" s="384" t="s">
        <v>1292</v>
      </c>
      <c r="B44" s="385"/>
      <c r="C44" s="385"/>
      <c r="D44" s="385"/>
      <c r="E44" s="385"/>
      <c r="F44" s="386"/>
    </row>
    <row r="45" spans="1:10" ht="14.25">
      <c r="A45" s="384" t="s">
        <v>1335</v>
      </c>
      <c r="B45" s="385"/>
      <c r="C45" s="385"/>
      <c r="D45" s="385"/>
      <c r="E45" s="385"/>
      <c r="F45" s="386"/>
    </row>
    <row r="46" spans="1:10">
      <c r="A46" s="295" t="s">
        <v>148</v>
      </c>
      <c r="B46" s="28" t="s">
        <v>190</v>
      </c>
      <c r="C46" s="28" t="s">
        <v>191</v>
      </c>
      <c r="D46" s="28" t="s">
        <v>192</v>
      </c>
      <c r="E46" s="28" t="s">
        <v>193</v>
      </c>
      <c r="F46" s="294" t="s">
        <v>194</v>
      </c>
      <c r="H46" s="356"/>
    </row>
    <row r="47" spans="1:10">
      <c r="A47" s="295" t="s">
        <v>152</v>
      </c>
      <c r="B47" s="28" t="s">
        <v>1258</v>
      </c>
      <c r="C47" s="28" t="s">
        <v>256</v>
      </c>
      <c r="D47" s="28" t="s">
        <v>257</v>
      </c>
      <c r="E47" s="28"/>
      <c r="F47" s="294">
        <f>F33</f>
        <v>31.334916562830671</v>
      </c>
      <c r="H47" s="335" t="s">
        <v>1379</v>
      </c>
    </row>
    <row r="48" spans="1:10">
      <c r="A48" s="295" t="s">
        <v>156</v>
      </c>
      <c r="B48" s="28" t="s">
        <v>1259</v>
      </c>
      <c r="C48" s="28" t="s">
        <v>1260</v>
      </c>
      <c r="D48" s="28" t="s">
        <v>257</v>
      </c>
      <c r="E48" s="28"/>
      <c r="F48" s="294">
        <f>1*F47</f>
        <v>31.334916562830671</v>
      </c>
      <c r="G48" s="344"/>
      <c r="H48" s="335" t="s">
        <v>1379</v>
      </c>
    </row>
    <row r="49" spans="1:8">
      <c r="A49" s="315" t="s">
        <v>160</v>
      </c>
      <c r="B49" s="28" t="s">
        <v>1259</v>
      </c>
      <c r="C49" s="28" t="s">
        <v>1260</v>
      </c>
      <c r="D49" s="28" t="s">
        <v>764</v>
      </c>
      <c r="E49" s="28" t="s">
        <v>1309</v>
      </c>
      <c r="F49" s="312">
        <f>F48*22</f>
        <v>689.3681643822747</v>
      </c>
      <c r="H49" s="335" t="s">
        <v>1379</v>
      </c>
    </row>
    <row r="50" spans="1:8">
      <c r="A50" s="315" t="s">
        <v>167</v>
      </c>
      <c r="B50" s="28" t="s">
        <v>1261</v>
      </c>
      <c r="C50" s="28" t="s">
        <v>1262</v>
      </c>
      <c r="D50" s="28" t="s">
        <v>257</v>
      </c>
      <c r="E50" s="28" t="s">
        <v>1322</v>
      </c>
      <c r="F50" s="319">
        <v>85</v>
      </c>
      <c r="H50" s="345" t="s">
        <v>1417</v>
      </c>
    </row>
    <row r="51" spans="1:8">
      <c r="A51" s="315" t="s">
        <v>164</v>
      </c>
      <c r="B51" s="28" t="s">
        <v>1313</v>
      </c>
      <c r="C51" s="28" t="s">
        <v>1314</v>
      </c>
      <c r="D51" s="28" t="s">
        <v>263</v>
      </c>
      <c r="E51" s="298" t="s">
        <v>1316</v>
      </c>
      <c r="F51" s="294">
        <f>F49*1.5/F50</f>
        <v>12.165320547922494</v>
      </c>
      <c r="H51" s="335" t="s">
        <v>1379</v>
      </c>
    </row>
    <row r="52" spans="1:8">
      <c r="A52" s="315" t="s">
        <v>167</v>
      </c>
      <c r="B52" s="28" t="s">
        <v>1311</v>
      </c>
      <c r="C52" s="28" t="s">
        <v>1315</v>
      </c>
      <c r="D52" s="28" t="s">
        <v>263</v>
      </c>
      <c r="E52" s="298"/>
      <c r="F52" s="318">
        <f>F49/3/F50</f>
        <v>2.7034045662049988</v>
      </c>
      <c r="H52" s="335" t="s">
        <v>1379</v>
      </c>
    </row>
    <row r="53" spans="1:8">
      <c r="A53" s="315" t="s">
        <v>204</v>
      </c>
      <c r="B53" s="28" t="s">
        <v>1317</v>
      </c>
      <c r="C53" s="28" t="s">
        <v>1318</v>
      </c>
      <c r="D53" s="28"/>
      <c r="E53" s="28" t="s">
        <v>1319</v>
      </c>
      <c r="F53" s="319">
        <v>1000</v>
      </c>
      <c r="H53" s="328" t="s">
        <v>1402</v>
      </c>
    </row>
    <row r="54" spans="1:8">
      <c r="A54" s="315" t="s">
        <v>209</v>
      </c>
      <c r="B54" s="28" t="s">
        <v>1320</v>
      </c>
      <c r="C54" s="28" t="s">
        <v>1321</v>
      </c>
      <c r="D54" s="28"/>
      <c r="E54" s="28" t="s">
        <v>1322</v>
      </c>
      <c r="F54" s="183">
        <v>400</v>
      </c>
      <c r="H54" s="328" t="s">
        <v>1404</v>
      </c>
    </row>
    <row r="55" spans="1:8">
      <c r="A55" s="315" t="s">
        <v>212</v>
      </c>
      <c r="B55" s="28" t="s">
        <v>1323</v>
      </c>
      <c r="C55" s="28" t="s">
        <v>1324</v>
      </c>
      <c r="D55" s="28" t="s">
        <v>1325</v>
      </c>
      <c r="E55" s="28" t="s">
        <v>1326</v>
      </c>
      <c r="F55" s="320">
        <v>1</v>
      </c>
      <c r="H55" s="328" t="s">
        <v>1402</v>
      </c>
    </row>
    <row r="56" spans="1:8">
      <c r="A56" s="315" t="s">
        <v>216</v>
      </c>
      <c r="B56" s="28" t="s">
        <v>1327</v>
      </c>
      <c r="C56" s="28" t="s">
        <v>1328</v>
      </c>
      <c r="D56" s="28" t="s">
        <v>1329</v>
      </c>
      <c r="E56" s="28" t="s">
        <v>1330</v>
      </c>
      <c r="F56" s="312">
        <v>0.9</v>
      </c>
      <c r="H56" s="328" t="s">
        <v>1391</v>
      </c>
    </row>
    <row r="57" spans="1:8">
      <c r="A57" s="315" t="s">
        <v>217</v>
      </c>
      <c r="B57" s="28" t="s">
        <v>1331</v>
      </c>
      <c r="C57" s="28" t="s">
        <v>1332</v>
      </c>
      <c r="D57" s="28" t="s">
        <v>1333</v>
      </c>
      <c r="E57" s="28" t="s">
        <v>1334</v>
      </c>
      <c r="F57" s="180">
        <f>F54*F53*F53*F55*F56/1000/1000</f>
        <v>360</v>
      </c>
      <c r="H57" s="335" t="s">
        <v>1379</v>
      </c>
    </row>
    <row r="58" spans="1:8">
      <c r="A58" s="323" t="s">
        <v>1359</v>
      </c>
      <c r="B58" s="322"/>
      <c r="C58" s="322"/>
      <c r="D58" s="322"/>
      <c r="E58" s="322"/>
      <c r="F58" s="322"/>
    </row>
    <row r="59" spans="1:8">
      <c r="A59" s="387" t="s">
        <v>1336</v>
      </c>
      <c r="B59" s="387"/>
      <c r="C59" s="387"/>
      <c r="D59" s="387"/>
      <c r="E59" s="387"/>
      <c r="F59" s="387"/>
    </row>
    <row r="60" spans="1:8">
      <c r="A60" s="315" t="s">
        <v>204</v>
      </c>
      <c r="B60" s="378" t="s">
        <v>1312</v>
      </c>
      <c r="C60" s="380"/>
      <c r="D60" s="380"/>
      <c r="E60" s="380"/>
      <c r="F60" s="379"/>
    </row>
    <row r="61" spans="1:8">
      <c r="A61" s="315" t="s">
        <v>209</v>
      </c>
      <c r="B61" s="381" t="s">
        <v>1264</v>
      </c>
      <c r="C61" s="382"/>
      <c r="D61" s="382"/>
      <c r="E61" s="382"/>
      <c r="F61" s="383"/>
    </row>
    <row r="62" spans="1:8" ht="14.25">
      <c r="A62" s="25" t="s">
        <v>1337</v>
      </c>
      <c r="B62" s="25"/>
      <c r="C62" s="25"/>
      <c r="D62" s="25"/>
      <c r="E62" s="25"/>
      <c r="F62" s="176"/>
    </row>
    <row r="63" spans="1:8">
      <c r="A63" s="160" t="s">
        <v>148</v>
      </c>
      <c r="B63" s="28" t="s">
        <v>190</v>
      </c>
      <c r="C63" s="28" t="s">
        <v>191</v>
      </c>
      <c r="D63" s="28" t="s">
        <v>192</v>
      </c>
      <c r="E63" s="28" t="s">
        <v>193</v>
      </c>
      <c r="F63" s="158" t="s">
        <v>194</v>
      </c>
    </row>
    <row r="64" spans="1:8">
      <c r="A64" s="160" t="s">
        <v>152</v>
      </c>
      <c r="B64" s="28" t="s">
        <v>255</v>
      </c>
      <c r="C64" s="28" t="s">
        <v>256</v>
      </c>
      <c r="D64" s="28" t="s">
        <v>257</v>
      </c>
      <c r="E64" s="28"/>
      <c r="F64" s="158">
        <f>F33</f>
        <v>31.334916562830671</v>
      </c>
      <c r="H64" s="335" t="s">
        <v>1379</v>
      </c>
    </row>
    <row r="65" spans="1:8">
      <c r="A65" s="160" t="s">
        <v>156</v>
      </c>
      <c r="B65" s="32" t="s">
        <v>856</v>
      </c>
      <c r="C65" s="32" t="s">
        <v>857</v>
      </c>
      <c r="D65" s="5"/>
      <c r="E65" s="5"/>
      <c r="F65" s="321">
        <v>3</v>
      </c>
      <c r="H65" s="328" t="s">
        <v>1383</v>
      </c>
    </row>
    <row r="66" spans="1:8">
      <c r="A66" s="160" t="s">
        <v>160</v>
      </c>
      <c r="B66" s="32" t="s">
        <v>858</v>
      </c>
      <c r="C66" s="32" t="s">
        <v>859</v>
      </c>
      <c r="D66" s="32" t="s">
        <v>860</v>
      </c>
      <c r="E66" s="170">
        <v>2</v>
      </c>
      <c r="F66" s="14">
        <v>200</v>
      </c>
      <c r="H66" s="328" t="s">
        <v>1391</v>
      </c>
    </row>
    <row r="67" spans="1:8">
      <c r="A67" s="160" t="s">
        <v>164</v>
      </c>
      <c r="B67" s="32" t="s">
        <v>861</v>
      </c>
      <c r="C67" s="32" t="s">
        <v>862</v>
      </c>
      <c r="D67" s="32" t="s">
        <v>863</v>
      </c>
      <c r="E67" s="32" t="s">
        <v>864</v>
      </c>
      <c r="F67" s="179">
        <f>F64/F65*F66/100</f>
        <v>20.889944375220448</v>
      </c>
      <c r="H67" s="335" t="s">
        <v>1379</v>
      </c>
    </row>
    <row r="69" spans="1:8">
      <c r="C69" s="317"/>
    </row>
    <row r="89" spans="5:5">
      <c r="E89">
        <v>0.4</v>
      </c>
    </row>
    <row r="90" spans="5:5">
      <c r="E90">
        <f>_xll.T_P($E$89)</f>
        <v>143.61253510128438</v>
      </c>
    </row>
  </sheetData>
  <mergeCells count="7">
    <mergeCell ref="D15:E15"/>
    <mergeCell ref="B60:F60"/>
    <mergeCell ref="B61:F61"/>
    <mergeCell ref="A44:F44"/>
    <mergeCell ref="A43:F43"/>
    <mergeCell ref="A45:F45"/>
    <mergeCell ref="A59:F59"/>
  </mergeCells>
  <phoneticPr fontId="14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2" tint="-0.749992370372631"/>
  </sheetPr>
  <dimension ref="A1:K85"/>
  <sheetViews>
    <sheetView topLeftCell="A73" zoomScaleNormal="100" workbookViewId="0">
      <selection activeCell="K75" sqref="K75"/>
    </sheetView>
  </sheetViews>
  <sheetFormatPr defaultRowHeight="13.5"/>
  <cols>
    <col min="2" max="2" width="26" customWidth="1"/>
    <col min="5" max="5" width="17.875" customWidth="1"/>
    <col min="6" max="6" width="11" customWidth="1"/>
    <col min="7" max="7" width="17.25" customWidth="1"/>
    <col min="9" max="9" width="3.875" customWidth="1"/>
    <col min="10" max="10" width="39.875" customWidth="1"/>
    <col min="11" max="11" width="15.625" customWidth="1"/>
  </cols>
  <sheetData>
    <row r="1" spans="1:10" ht="14.25">
      <c r="A1" s="25" t="s">
        <v>248</v>
      </c>
      <c r="B1" s="25"/>
    </row>
    <row r="2" spans="1:10">
      <c r="A2" s="18">
        <v>1</v>
      </c>
      <c r="B2" s="18" t="s">
        <v>242</v>
      </c>
      <c r="C2" s="18" t="s">
        <v>243</v>
      </c>
      <c r="D2" s="18" t="s">
        <v>244</v>
      </c>
      <c r="E2" s="18"/>
      <c r="F2" s="18">
        <v>2690</v>
      </c>
      <c r="G2" s="336" t="s">
        <v>1384</v>
      </c>
      <c r="J2" s="356"/>
    </row>
    <row r="3" spans="1:10" ht="26.25" customHeight="1">
      <c r="A3" s="18">
        <v>2</v>
      </c>
      <c r="B3" s="18" t="s">
        <v>245</v>
      </c>
      <c r="C3" s="18" t="s">
        <v>246</v>
      </c>
      <c r="D3" s="18" t="s">
        <v>247</v>
      </c>
      <c r="E3" s="18"/>
      <c r="F3" s="18">
        <f>1013.25*(1-F2/44330)^5.255*100</f>
        <v>72920.37148279605</v>
      </c>
      <c r="G3" s="337" t="s">
        <v>1379</v>
      </c>
      <c r="J3" s="356"/>
    </row>
    <row r="5" spans="1:10" s="26" customFormat="1" ht="14.25">
      <c r="A5" s="25" t="s">
        <v>146</v>
      </c>
      <c r="F5" s="27" t="s">
        <v>240</v>
      </c>
      <c r="G5" s="27" t="s">
        <v>241</v>
      </c>
      <c r="H5" s="27" t="s">
        <v>147</v>
      </c>
    </row>
    <row r="6" spans="1:10" s="26" customFormat="1">
      <c r="A6" s="18" t="s">
        <v>148</v>
      </c>
      <c r="B6" s="28" t="s">
        <v>149</v>
      </c>
      <c r="C6" s="28" t="s">
        <v>150</v>
      </c>
      <c r="D6" s="28" t="s">
        <v>151</v>
      </c>
      <c r="E6" s="28"/>
      <c r="F6" s="29">
        <v>20</v>
      </c>
      <c r="G6" s="29">
        <v>20</v>
      </c>
      <c r="H6" s="29">
        <v>20</v>
      </c>
      <c r="J6" s="336" t="s">
        <v>1383</v>
      </c>
    </row>
    <row r="7" spans="1:10" s="26" customFormat="1" ht="18.75">
      <c r="A7" s="18" t="s">
        <v>152</v>
      </c>
      <c r="B7" s="28" t="s">
        <v>153</v>
      </c>
      <c r="C7" s="28" t="s">
        <v>154</v>
      </c>
      <c r="D7" s="28" t="s">
        <v>155</v>
      </c>
      <c r="E7" s="28"/>
      <c r="F7" s="29">
        <f>1800000000/360/24</f>
        <v>208333.33333333334</v>
      </c>
      <c r="G7" s="29">
        <v>264000</v>
      </c>
      <c r="H7" s="29">
        <v>264000</v>
      </c>
      <c r="J7" s="336" t="s">
        <v>1383</v>
      </c>
    </row>
    <row r="8" spans="1:10" s="26" customFormat="1" ht="18.75">
      <c r="A8" s="18" t="s">
        <v>156</v>
      </c>
      <c r="B8" s="28" t="s">
        <v>157</v>
      </c>
      <c r="C8" s="28" t="s">
        <v>158</v>
      </c>
      <c r="D8" s="28" t="s">
        <v>159</v>
      </c>
      <c r="E8" s="28"/>
      <c r="F8" s="28">
        <v>87850</v>
      </c>
      <c r="G8" s="28">
        <v>87850</v>
      </c>
      <c r="H8" s="28">
        <v>87850</v>
      </c>
      <c r="J8" s="336" t="s">
        <v>1384</v>
      </c>
    </row>
    <row r="9" spans="1:10" s="26" customFormat="1" ht="18.75">
      <c r="A9" s="18" t="s">
        <v>160</v>
      </c>
      <c r="B9" s="28" t="s">
        <v>161</v>
      </c>
      <c r="C9" s="28" t="s">
        <v>162</v>
      </c>
      <c r="D9" s="28" t="s">
        <v>163</v>
      </c>
      <c r="E9" s="28"/>
      <c r="F9" s="28">
        <v>0</v>
      </c>
      <c r="G9" s="28">
        <v>0</v>
      </c>
      <c r="H9" s="28">
        <v>0</v>
      </c>
      <c r="J9" s="336" t="s">
        <v>1382</v>
      </c>
    </row>
    <row r="10" spans="1:10" s="26" customFormat="1" ht="18.75">
      <c r="A10" s="18" t="s">
        <v>164</v>
      </c>
      <c r="B10" s="28" t="s">
        <v>165</v>
      </c>
      <c r="C10" s="28" t="s">
        <v>158</v>
      </c>
      <c r="D10" s="28" t="s">
        <v>166</v>
      </c>
      <c r="E10" s="28"/>
      <c r="F10" s="28">
        <v>101325</v>
      </c>
      <c r="G10" s="28">
        <v>101325</v>
      </c>
      <c r="H10" s="28">
        <v>101325</v>
      </c>
      <c r="J10" s="336" t="s">
        <v>1382</v>
      </c>
    </row>
    <row r="11" spans="1:10" s="26" customFormat="1" ht="18.75">
      <c r="A11" s="18" t="s">
        <v>167</v>
      </c>
      <c r="B11" s="28" t="s">
        <v>168</v>
      </c>
      <c r="C11" s="28" t="s">
        <v>169</v>
      </c>
      <c r="D11" s="28" t="s">
        <v>170</v>
      </c>
      <c r="E11" s="28" t="s">
        <v>171</v>
      </c>
      <c r="F11" s="30">
        <f>F7*(F8/F10)*((F9+273)/(F6+273))</f>
        <v>168297.99524895815</v>
      </c>
      <c r="G11" s="30">
        <f>G7*(G8/G10)*((G9+273)/(G6+273))</f>
        <v>213267.21957947974</v>
      </c>
      <c r="H11" s="30">
        <f>H7*(H8/H10)*((H9+273)/(H6+273))</f>
        <v>213267.21957947974</v>
      </c>
      <c r="J11" s="337" t="s">
        <v>1379</v>
      </c>
    </row>
    <row r="12" spans="1:10" s="26" customFormat="1" ht="14.25">
      <c r="A12" s="25" t="s">
        <v>172</v>
      </c>
      <c r="F12" s="27" t="s">
        <v>240</v>
      </c>
      <c r="G12" s="27" t="s">
        <v>241</v>
      </c>
      <c r="H12" s="27" t="s">
        <v>147</v>
      </c>
    </row>
    <row r="13" spans="1:10" s="26" customFormat="1" ht="18.75">
      <c r="A13" s="18" t="s">
        <v>148</v>
      </c>
      <c r="B13" s="28" t="s">
        <v>173</v>
      </c>
      <c r="C13" s="28" t="s">
        <v>174</v>
      </c>
      <c r="D13" s="28" t="s">
        <v>175</v>
      </c>
      <c r="E13" s="28"/>
      <c r="F13" s="28">
        <v>0</v>
      </c>
      <c r="G13" s="28">
        <v>0</v>
      </c>
      <c r="H13" s="28">
        <v>0</v>
      </c>
      <c r="J13" s="336" t="s">
        <v>1382</v>
      </c>
    </row>
    <row r="14" spans="1:10" s="26" customFormat="1" ht="18.75">
      <c r="A14" s="18" t="s">
        <v>152</v>
      </c>
      <c r="B14" s="28" t="s">
        <v>176</v>
      </c>
      <c r="C14" s="28" t="s">
        <v>177</v>
      </c>
      <c r="D14" s="28" t="s">
        <v>178</v>
      </c>
      <c r="E14" s="28"/>
      <c r="F14" s="28">
        <v>101325</v>
      </c>
      <c r="G14" s="28">
        <v>101325</v>
      </c>
      <c r="H14" s="28">
        <v>101325</v>
      </c>
      <c r="J14" s="336" t="s">
        <v>1382</v>
      </c>
    </row>
    <row r="15" spans="1:10" s="26" customFormat="1" ht="18.75">
      <c r="A15" s="18" t="s">
        <v>156</v>
      </c>
      <c r="B15" s="28" t="s">
        <v>179</v>
      </c>
      <c r="C15" s="28" t="s">
        <v>180</v>
      </c>
      <c r="D15" s="28" t="s">
        <v>181</v>
      </c>
      <c r="E15" s="28"/>
      <c r="F15" s="174">
        <f>锅炉计算!G93</f>
        <v>73713.942760205187</v>
      </c>
      <c r="G15" s="174">
        <f>锅炉计算!G106</f>
        <v>60311.407712895161</v>
      </c>
      <c r="H15" s="29">
        <f>锅炉计算!G152</f>
        <v>182501.26835196212</v>
      </c>
      <c r="J15" s="337" t="s">
        <v>1385</v>
      </c>
    </row>
    <row r="16" spans="1:10" s="26" customFormat="1">
      <c r="A16" s="18" t="s">
        <v>160</v>
      </c>
      <c r="B16" s="28" t="s">
        <v>182</v>
      </c>
      <c r="C16" s="28" t="s">
        <v>174</v>
      </c>
      <c r="D16" s="28" t="s">
        <v>183</v>
      </c>
      <c r="E16" s="28"/>
      <c r="F16" s="29">
        <v>20</v>
      </c>
      <c r="G16" s="29">
        <v>20</v>
      </c>
      <c r="H16" s="291">
        <f>145+15</f>
        <v>160</v>
      </c>
      <c r="J16" s="336" t="s">
        <v>1383</v>
      </c>
    </row>
    <row r="17" spans="1:10" s="26" customFormat="1">
      <c r="A17" s="18" t="s">
        <v>164</v>
      </c>
      <c r="B17" s="28" t="s">
        <v>184</v>
      </c>
      <c r="C17" s="28" t="s">
        <v>177</v>
      </c>
      <c r="D17" s="28" t="s">
        <v>185</v>
      </c>
      <c r="E17" s="28"/>
      <c r="F17" s="28">
        <f>1000*锅炉计算!G43</f>
        <v>86755</v>
      </c>
      <c r="G17" s="28">
        <f>F17</f>
        <v>86755</v>
      </c>
      <c r="H17" s="28">
        <f>G17</f>
        <v>86755</v>
      </c>
      <c r="J17" s="336" t="s">
        <v>1384</v>
      </c>
    </row>
    <row r="18" spans="1:10" s="26" customFormat="1" ht="18.75">
      <c r="A18" s="18" t="s">
        <v>167</v>
      </c>
      <c r="B18" s="28" t="s">
        <v>186</v>
      </c>
      <c r="C18" s="28" t="s">
        <v>187</v>
      </c>
      <c r="D18" s="28" t="s">
        <v>188</v>
      </c>
      <c r="E18" s="28" t="s">
        <v>189</v>
      </c>
      <c r="F18" s="30">
        <f>F15*(F14/F17)*((F16+273)/(F13+273))</f>
        <v>92401.008790157139</v>
      </c>
      <c r="G18" s="30">
        <f>G15*(G14/G17)*((G16+273)/(G13+273))</f>
        <v>75600.825373764936</v>
      </c>
      <c r="H18" s="30">
        <f>H15*(H14/H17)*((H16+273)/(H13+273))</f>
        <v>338075.13854012225</v>
      </c>
      <c r="J18" s="337" t="s">
        <v>1379</v>
      </c>
    </row>
    <row r="19" spans="1:10" s="26" customFormat="1" ht="14.25">
      <c r="A19" s="25" t="s">
        <v>249</v>
      </c>
    </row>
    <row r="20" spans="1:10" s="26" customFormat="1" ht="15" customHeight="1">
      <c r="A20" s="18" t="s">
        <v>148</v>
      </c>
      <c r="B20" s="28" t="s">
        <v>190</v>
      </c>
      <c r="C20" s="28" t="s">
        <v>191</v>
      </c>
      <c r="D20" s="28" t="s">
        <v>192</v>
      </c>
      <c r="E20" s="28" t="s">
        <v>193</v>
      </c>
      <c r="F20" s="18" t="s">
        <v>194</v>
      </c>
    </row>
    <row r="21" spans="1:10" s="26" customFormat="1" ht="14.25">
      <c r="A21" s="18" t="s">
        <v>152</v>
      </c>
      <c r="B21" s="31" t="s">
        <v>1244</v>
      </c>
      <c r="C21" s="28" t="s">
        <v>195</v>
      </c>
      <c r="D21" s="28" t="s">
        <v>162</v>
      </c>
      <c r="E21" s="28" t="s">
        <v>196</v>
      </c>
      <c r="F21" s="28">
        <f>F16</f>
        <v>20</v>
      </c>
      <c r="J21" s="336" t="s">
        <v>1383</v>
      </c>
    </row>
    <row r="22" spans="1:10" s="26" customFormat="1" ht="18.75">
      <c r="A22" s="241" t="s">
        <v>156</v>
      </c>
      <c r="B22" s="28" t="s">
        <v>1225</v>
      </c>
      <c r="C22" s="32" t="s">
        <v>1227</v>
      </c>
      <c r="D22" s="32" t="s">
        <v>158</v>
      </c>
      <c r="E22" s="289" t="s">
        <v>1226</v>
      </c>
      <c r="F22" s="29">
        <v>7500</v>
      </c>
      <c r="J22" s="336" t="s">
        <v>1383</v>
      </c>
    </row>
    <row r="23" spans="1:10" s="26" customFormat="1" ht="18.75">
      <c r="A23" s="241" t="s">
        <v>160</v>
      </c>
      <c r="B23" s="28" t="s">
        <v>1224</v>
      </c>
      <c r="C23" s="32" t="s">
        <v>1228</v>
      </c>
      <c r="D23" s="32" t="s">
        <v>197</v>
      </c>
      <c r="E23" s="289" t="s">
        <v>1229</v>
      </c>
      <c r="F23" s="29">
        <v>1500</v>
      </c>
      <c r="J23" s="336" t="s">
        <v>1383</v>
      </c>
    </row>
    <row r="24" spans="1:10" s="26" customFormat="1" ht="18.75">
      <c r="A24" s="241" t="s">
        <v>164</v>
      </c>
      <c r="B24" s="28" t="s">
        <v>198</v>
      </c>
      <c r="C24" s="32" t="s">
        <v>199</v>
      </c>
      <c r="D24" s="32" t="s">
        <v>197</v>
      </c>
      <c r="E24" s="28"/>
      <c r="F24" s="28">
        <f>F17</f>
        <v>86755</v>
      </c>
      <c r="J24" s="336" t="s">
        <v>1384</v>
      </c>
    </row>
    <row r="25" spans="1:10" s="26" customFormat="1" ht="14.25">
      <c r="A25" s="241" t="s">
        <v>167</v>
      </c>
      <c r="B25" s="31" t="s">
        <v>200</v>
      </c>
      <c r="C25" s="32" t="s">
        <v>201</v>
      </c>
      <c r="D25" s="32" t="s">
        <v>154</v>
      </c>
      <c r="E25" s="290" t="s">
        <v>1223</v>
      </c>
      <c r="F25" s="34">
        <f>1.1*F18/2</f>
        <v>50820.55483458643</v>
      </c>
      <c r="J25" s="338" t="s">
        <v>1958</v>
      </c>
    </row>
    <row r="26" spans="1:10" s="26" customFormat="1" ht="18.75">
      <c r="A26" s="241" t="s">
        <v>204</v>
      </c>
      <c r="B26" s="31" t="s">
        <v>1243</v>
      </c>
      <c r="C26" s="32" t="s">
        <v>202</v>
      </c>
      <c r="D26" s="28" t="s">
        <v>203</v>
      </c>
      <c r="E26" s="290" t="s">
        <v>1245</v>
      </c>
      <c r="F26" s="31">
        <v>20</v>
      </c>
      <c r="J26" s="336" t="s">
        <v>1960</v>
      </c>
    </row>
    <row r="27" spans="1:10" s="26" customFormat="1" ht="18.75">
      <c r="A27" s="241" t="s">
        <v>209</v>
      </c>
      <c r="B27" s="28" t="s">
        <v>205</v>
      </c>
      <c r="C27" s="32" t="s">
        <v>206</v>
      </c>
      <c r="D27" s="32" t="s">
        <v>207</v>
      </c>
      <c r="E27" s="32" t="s">
        <v>208</v>
      </c>
      <c r="F27" s="35">
        <f>F22+F23*(101325/F24)*((F21+273)/(F26+273))*1.293/(1.293*273/(273+F21))</f>
        <v>9380.2618337227286</v>
      </c>
      <c r="J27" s="337" t="s">
        <v>1379</v>
      </c>
    </row>
    <row r="28" spans="1:10" s="26" customFormat="1" ht="18.75">
      <c r="A28" s="241" t="s">
        <v>212</v>
      </c>
      <c r="B28" s="28" t="s">
        <v>210</v>
      </c>
      <c r="C28" s="32" t="s">
        <v>211</v>
      </c>
      <c r="D28" s="28"/>
      <c r="E28" s="28">
        <v>1.2</v>
      </c>
      <c r="F28" s="36">
        <f>F27*1.2</f>
        <v>11256.314200467274</v>
      </c>
      <c r="J28" s="337" t="s">
        <v>1959</v>
      </c>
    </row>
    <row r="29" spans="1:10" s="26" customFormat="1" ht="18.75">
      <c r="A29" s="241" t="s">
        <v>216</v>
      </c>
      <c r="B29" s="28" t="s">
        <v>213</v>
      </c>
      <c r="C29" s="32" t="s">
        <v>214</v>
      </c>
      <c r="D29" s="32" t="s">
        <v>215</v>
      </c>
      <c r="E29" s="28">
        <v>1.3</v>
      </c>
      <c r="F29" s="30">
        <f>F25*1.3</f>
        <v>66066.721284962361</v>
      </c>
      <c r="G29" s="26">
        <f>F29/3600</f>
        <v>18.351867023600654</v>
      </c>
      <c r="J29" s="337" t="s">
        <v>1959</v>
      </c>
    </row>
    <row r="30" spans="1:10" s="26" customFormat="1" ht="14.25">
      <c r="A30" s="241" t="s">
        <v>217</v>
      </c>
      <c r="B30" s="28" t="s">
        <v>254</v>
      </c>
      <c r="C30" s="28" t="s">
        <v>218</v>
      </c>
      <c r="D30" s="28"/>
      <c r="E30" s="28" t="s">
        <v>1961</v>
      </c>
      <c r="F30" s="38">
        <v>0.75</v>
      </c>
      <c r="J30" s="336" t="s">
        <v>1945</v>
      </c>
    </row>
    <row r="31" spans="1:10" s="26" customFormat="1" ht="18.75">
      <c r="A31" s="241" t="s">
        <v>219</v>
      </c>
      <c r="B31" s="28" t="s">
        <v>220</v>
      </c>
      <c r="C31" s="28" t="s">
        <v>221</v>
      </c>
      <c r="D31" s="28"/>
      <c r="E31" s="28" t="s">
        <v>1962</v>
      </c>
      <c r="F31" s="37">
        <v>0.95</v>
      </c>
      <c r="J31" s="336" t="s">
        <v>1945</v>
      </c>
    </row>
    <row r="32" spans="1:10" s="26" customFormat="1" ht="18.75">
      <c r="A32" s="241" t="s">
        <v>222</v>
      </c>
      <c r="B32" s="28" t="s">
        <v>223</v>
      </c>
      <c r="C32" s="32" t="s">
        <v>224</v>
      </c>
      <c r="D32" s="28" t="s">
        <v>225</v>
      </c>
      <c r="E32" s="28" t="s">
        <v>226</v>
      </c>
      <c r="F32" s="175">
        <f>F28*F29/F30/3600/1000</f>
        <v>275.43250851045752</v>
      </c>
      <c r="J32" s="337" t="s">
        <v>1379</v>
      </c>
    </row>
    <row r="33" spans="1:11" s="26" customFormat="1" ht="14.25">
      <c r="A33" s="241" t="s">
        <v>227</v>
      </c>
      <c r="B33" s="28" t="s">
        <v>228</v>
      </c>
      <c r="C33" s="28" t="s">
        <v>229</v>
      </c>
      <c r="D33" s="28"/>
      <c r="E33" s="28" t="s">
        <v>1963</v>
      </c>
      <c r="F33" s="38">
        <v>1.1000000000000001</v>
      </c>
      <c r="J33" s="336" t="s">
        <v>1945</v>
      </c>
    </row>
    <row r="34" spans="1:11" s="26" customFormat="1" ht="18.75">
      <c r="A34" s="241" t="s">
        <v>230</v>
      </c>
      <c r="B34" s="28" t="s">
        <v>250</v>
      </c>
      <c r="C34" s="28" t="s">
        <v>251</v>
      </c>
      <c r="D34" s="28" t="s">
        <v>252</v>
      </c>
      <c r="E34" s="28" t="s">
        <v>253</v>
      </c>
      <c r="F34" s="30">
        <f>F33*F32/F31</f>
        <v>318.92185195947718</v>
      </c>
      <c r="G34" s="395" t="s">
        <v>1232</v>
      </c>
      <c r="H34" s="395"/>
      <c r="J34" s="337" t="s">
        <v>1379</v>
      </c>
      <c r="K34" s="336" t="s">
        <v>1386</v>
      </c>
    </row>
    <row r="35" spans="1:11" s="26" customFormat="1" ht="14.25">
      <c r="A35" s="25" t="s">
        <v>1230</v>
      </c>
    </row>
    <row r="36" spans="1:11" s="26" customFormat="1" ht="15" customHeight="1">
      <c r="A36" s="241" t="s">
        <v>148</v>
      </c>
      <c r="B36" s="28" t="s">
        <v>190</v>
      </c>
      <c r="C36" s="28" t="s">
        <v>191</v>
      </c>
      <c r="D36" s="28" t="s">
        <v>192</v>
      </c>
      <c r="E36" s="28" t="s">
        <v>193</v>
      </c>
      <c r="F36" s="241" t="s">
        <v>194</v>
      </c>
    </row>
    <row r="37" spans="1:11" s="26" customFormat="1" ht="14.25">
      <c r="A37" s="241" t="s">
        <v>152</v>
      </c>
      <c r="B37" s="31" t="s">
        <v>1244</v>
      </c>
      <c r="C37" s="28" t="s">
        <v>151</v>
      </c>
      <c r="D37" s="28" t="s">
        <v>150</v>
      </c>
      <c r="E37" s="28" t="s">
        <v>196</v>
      </c>
      <c r="F37" s="28">
        <f>G16</f>
        <v>20</v>
      </c>
      <c r="J37" s="336" t="s">
        <v>1383</v>
      </c>
    </row>
    <row r="38" spans="1:11" s="26" customFormat="1" ht="18.75">
      <c r="A38" s="241" t="s">
        <v>156</v>
      </c>
      <c r="B38" s="28" t="s">
        <v>1225</v>
      </c>
      <c r="C38" s="32" t="s">
        <v>1227</v>
      </c>
      <c r="D38" s="32" t="s">
        <v>158</v>
      </c>
      <c r="E38" s="289" t="s">
        <v>1226</v>
      </c>
      <c r="F38" s="29">
        <v>5500</v>
      </c>
      <c r="J38" s="336" t="s">
        <v>1383</v>
      </c>
    </row>
    <row r="39" spans="1:11" s="26" customFormat="1" ht="18.75">
      <c r="A39" s="241" t="s">
        <v>160</v>
      </c>
      <c r="B39" s="28" t="s">
        <v>1224</v>
      </c>
      <c r="C39" s="32" t="s">
        <v>1228</v>
      </c>
      <c r="D39" s="32" t="s">
        <v>158</v>
      </c>
      <c r="E39" s="289" t="s">
        <v>1229</v>
      </c>
      <c r="F39" s="29">
        <v>1500</v>
      </c>
      <c r="J39" s="336" t="s">
        <v>1383</v>
      </c>
    </row>
    <row r="40" spans="1:11" s="26" customFormat="1" ht="18.75">
      <c r="A40" s="241" t="s">
        <v>164</v>
      </c>
      <c r="B40" s="28" t="s">
        <v>157</v>
      </c>
      <c r="C40" s="32" t="s">
        <v>166</v>
      </c>
      <c r="D40" s="32" t="s">
        <v>158</v>
      </c>
      <c r="E40" s="28"/>
      <c r="F40" s="28">
        <f>G17</f>
        <v>86755</v>
      </c>
      <c r="J40" s="336" t="s">
        <v>1384</v>
      </c>
    </row>
    <row r="41" spans="1:11" s="26" customFormat="1" ht="14.25">
      <c r="A41" s="241" t="s">
        <v>167</v>
      </c>
      <c r="B41" s="31" t="s">
        <v>200</v>
      </c>
      <c r="C41" s="32" t="s">
        <v>201</v>
      </c>
      <c r="D41" s="32" t="s">
        <v>154</v>
      </c>
      <c r="E41" s="290"/>
      <c r="F41" s="339">
        <f>G18/2</f>
        <v>37800.412686882468</v>
      </c>
      <c r="G41" s="336" t="s">
        <v>1387</v>
      </c>
      <c r="J41" s="338" t="s">
        <v>1390</v>
      </c>
    </row>
    <row r="42" spans="1:11" s="26" customFormat="1" ht="18.75">
      <c r="A42" s="241" t="s">
        <v>204</v>
      </c>
      <c r="B42" s="31" t="s">
        <v>1243</v>
      </c>
      <c r="C42" s="32" t="s">
        <v>202</v>
      </c>
      <c r="D42" s="28" t="s">
        <v>150</v>
      </c>
      <c r="E42" s="290" t="s">
        <v>1245</v>
      </c>
      <c r="F42" s="31">
        <v>20</v>
      </c>
      <c r="J42" s="336" t="s">
        <v>1945</v>
      </c>
    </row>
    <row r="43" spans="1:11" s="26" customFormat="1" ht="18.75">
      <c r="A43" s="241" t="s">
        <v>209</v>
      </c>
      <c r="B43" s="28" t="s">
        <v>205</v>
      </c>
      <c r="C43" s="32" t="s">
        <v>206</v>
      </c>
      <c r="D43" s="32" t="s">
        <v>158</v>
      </c>
      <c r="E43" s="32" t="s">
        <v>1256</v>
      </c>
      <c r="F43" s="35">
        <f>F38+F39*(101325/F40)</f>
        <v>7251.9163160624748</v>
      </c>
      <c r="J43" s="337" t="s">
        <v>1379</v>
      </c>
    </row>
    <row r="44" spans="1:11" s="26" customFormat="1" ht="18.75">
      <c r="A44" s="241" t="s">
        <v>212</v>
      </c>
      <c r="B44" s="28" t="s">
        <v>210</v>
      </c>
      <c r="C44" s="32" t="s">
        <v>211</v>
      </c>
      <c r="D44" s="28"/>
      <c r="E44" s="28">
        <v>1.2</v>
      </c>
      <c r="F44" s="36">
        <f>F43*1.2</f>
        <v>8702.2995792749698</v>
      </c>
      <c r="J44" s="337" t="s">
        <v>1389</v>
      </c>
    </row>
    <row r="45" spans="1:11" s="26" customFormat="1" ht="18.75">
      <c r="A45" s="241" t="s">
        <v>216</v>
      </c>
      <c r="B45" s="28" t="s">
        <v>213</v>
      </c>
      <c r="C45" s="32" t="s">
        <v>214</v>
      </c>
      <c r="D45" s="32" t="s">
        <v>154</v>
      </c>
      <c r="E45" s="28">
        <v>1.3</v>
      </c>
      <c r="F45" s="30">
        <f>F41*1.3</f>
        <v>49140.536492947213</v>
      </c>
      <c r="G45" s="26">
        <f>F45/3600</f>
        <v>13.650149025818671</v>
      </c>
      <c r="J45" s="337" t="s">
        <v>1389</v>
      </c>
    </row>
    <row r="46" spans="1:11" s="26" customFormat="1" ht="14.25">
      <c r="A46" s="241" t="s">
        <v>217</v>
      </c>
      <c r="B46" s="28" t="s">
        <v>236</v>
      </c>
      <c r="C46" s="28" t="s">
        <v>218</v>
      </c>
      <c r="D46" s="28"/>
      <c r="E46" s="28" t="s">
        <v>1961</v>
      </c>
      <c r="F46" s="38">
        <v>0.75</v>
      </c>
      <c r="J46" s="336" t="s">
        <v>1391</v>
      </c>
    </row>
    <row r="47" spans="1:11" s="26" customFormat="1" ht="18.75">
      <c r="A47" s="241" t="s">
        <v>219</v>
      </c>
      <c r="B47" s="28" t="s">
        <v>220</v>
      </c>
      <c r="C47" s="28" t="s">
        <v>221</v>
      </c>
      <c r="D47" s="28"/>
      <c r="E47" s="28" t="s">
        <v>1962</v>
      </c>
      <c r="F47" s="37">
        <v>0.95</v>
      </c>
      <c r="J47" s="336" t="s">
        <v>1391</v>
      </c>
    </row>
    <row r="48" spans="1:11" s="26" customFormat="1" ht="18.75">
      <c r="A48" s="241" t="s">
        <v>222</v>
      </c>
      <c r="B48" s="28" t="s">
        <v>223</v>
      </c>
      <c r="C48" s="32" t="s">
        <v>224</v>
      </c>
      <c r="D48" s="28" t="s">
        <v>225</v>
      </c>
      <c r="E48" s="28" t="s">
        <v>226</v>
      </c>
      <c r="F48" s="175">
        <f>F44*F45/F46/3600/1000</f>
        <v>158.38358149922993</v>
      </c>
      <c r="J48" s="337" t="s">
        <v>1379</v>
      </c>
    </row>
    <row r="49" spans="1:10" s="26" customFormat="1" ht="14.25">
      <c r="A49" s="241" t="s">
        <v>227</v>
      </c>
      <c r="B49" s="28" t="s">
        <v>228</v>
      </c>
      <c r="C49" s="28" t="s">
        <v>229</v>
      </c>
      <c r="D49" s="28"/>
      <c r="E49" s="28" t="s">
        <v>1963</v>
      </c>
      <c r="F49" s="38">
        <v>1.1000000000000001</v>
      </c>
      <c r="J49" s="336" t="s">
        <v>1391</v>
      </c>
    </row>
    <row r="50" spans="1:10" s="26" customFormat="1" ht="18.75">
      <c r="A50" s="241" t="s">
        <v>230</v>
      </c>
      <c r="B50" s="28" t="s">
        <v>237</v>
      </c>
      <c r="C50" s="28" t="s">
        <v>238</v>
      </c>
      <c r="D50" s="28" t="s">
        <v>225</v>
      </c>
      <c r="E50" s="28" t="s">
        <v>239</v>
      </c>
      <c r="F50" s="30">
        <f>F49*F48/F47</f>
        <v>183.391515420161</v>
      </c>
      <c r="G50" s="395" t="s">
        <v>1255</v>
      </c>
      <c r="H50" s="395"/>
      <c r="J50" s="337" t="s">
        <v>1379</v>
      </c>
    </row>
    <row r="51" spans="1:10" s="26" customFormat="1" ht="14.25">
      <c r="A51" s="25" t="s">
        <v>1231</v>
      </c>
    </row>
    <row r="52" spans="1:10" s="26" customFormat="1" ht="15" customHeight="1">
      <c r="A52" s="241" t="s">
        <v>148</v>
      </c>
      <c r="B52" s="28" t="s">
        <v>190</v>
      </c>
      <c r="C52" s="28" t="s">
        <v>191</v>
      </c>
      <c r="D52" s="28" t="s">
        <v>192</v>
      </c>
      <c r="E52" s="28" t="s">
        <v>193</v>
      </c>
      <c r="F52" s="241" t="s">
        <v>194</v>
      </c>
    </row>
    <row r="53" spans="1:10" s="26" customFormat="1" ht="14.25">
      <c r="A53" s="241" t="s">
        <v>152</v>
      </c>
      <c r="B53" s="31" t="s">
        <v>1246</v>
      </c>
      <c r="C53" s="28" t="s">
        <v>151</v>
      </c>
      <c r="D53" s="28" t="s">
        <v>150</v>
      </c>
      <c r="E53" s="28" t="s">
        <v>196</v>
      </c>
      <c r="F53" s="293">
        <f>H16</f>
        <v>160</v>
      </c>
      <c r="J53" s="336" t="s">
        <v>1391</v>
      </c>
    </row>
    <row r="54" spans="1:10" s="26" customFormat="1" ht="18.75">
      <c r="A54" s="241" t="s">
        <v>156</v>
      </c>
      <c r="B54" s="28" t="s">
        <v>1233</v>
      </c>
      <c r="C54" s="32" t="s">
        <v>1227</v>
      </c>
      <c r="D54" s="32" t="s">
        <v>158</v>
      </c>
      <c r="E54" s="289" t="s">
        <v>1226</v>
      </c>
      <c r="F54" s="29">
        <v>2480</v>
      </c>
      <c r="J54" s="336" t="s">
        <v>1383</v>
      </c>
    </row>
    <row r="55" spans="1:10" s="26" customFormat="1" ht="18.75">
      <c r="A55" s="241" t="s">
        <v>160</v>
      </c>
      <c r="B55" s="28" t="s">
        <v>1234</v>
      </c>
      <c r="C55" s="32" t="s">
        <v>1235</v>
      </c>
      <c r="D55" s="32" t="s">
        <v>158</v>
      </c>
      <c r="E55" s="289" t="s">
        <v>1229</v>
      </c>
      <c r="F55" s="29">
        <v>600</v>
      </c>
      <c r="J55" s="336" t="s">
        <v>1383</v>
      </c>
    </row>
    <row r="56" spans="1:10" s="26" customFormat="1">
      <c r="A56" s="241" t="s">
        <v>164</v>
      </c>
      <c r="B56" s="28" t="s">
        <v>1236</v>
      </c>
      <c r="C56" s="32" t="s">
        <v>1237</v>
      </c>
      <c r="D56" s="32" t="s">
        <v>1238</v>
      </c>
      <c r="E56" s="289" t="s">
        <v>1229</v>
      </c>
      <c r="F56" s="29">
        <v>1200</v>
      </c>
      <c r="J56" s="336" t="s">
        <v>1383</v>
      </c>
    </row>
    <row r="57" spans="1:10" s="26" customFormat="1" ht="18.75">
      <c r="A57" s="241" t="s">
        <v>167</v>
      </c>
      <c r="B57" s="28" t="s">
        <v>1224</v>
      </c>
      <c r="C57" s="32" t="s">
        <v>1228</v>
      </c>
      <c r="D57" s="32" t="s">
        <v>1241</v>
      </c>
      <c r="E57" s="289" t="s">
        <v>1229</v>
      </c>
      <c r="F57" s="29">
        <v>500</v>
      </c>
      <c r="J57" s="336" t="s">
        <v>1383</v>
      </c>
    </row>
    <row r="58" spans="1:10" s="26" customFormat="1">
      <c r="A58" s="241" t="s">
        <v>204</v>
      </c>
      <c r="B58" s="28" t="s">
        <v>1239</v>
      </c>
      <c r="C58" s="32" t="s">
        <v>1240</v>
      </c>
      <c r="D58" s="32" t="s">
        <v>177</v>
      </c>
      <c r="E58" s="289" t="s">
        <v>1229</v>
      </c>
      <c r="F58" s="29">
        <v>3000</v>
      </c>
      <c r="J58" s="336" t="s">
        <v>1383</v>
      </c>
    </row>
    <row r="59" spans="1:10" s="26" customFormat="1" ht="18.75">
      <c r="A59" s="241" t="s">
        <v>209</v>
      </c>
      <c r="B59" s="28" t="s">
        <v>157</v>
      </c>
      <c r="C59" s="32" t="s">
        <v>166</v>
      </c>
      <c r="D59" s="32" t="s">
        <v>158</v>
      </c>
      <c r="E59" s="28"/>
      <c r="F59" s="28">
        <f>H17</f>
        <v>86755</v>
      </c>
      <c r="J59" s="336" t="s">
        <v>1384</v>
      </c>
    </row>
    <row r="60" spans="1:10" s="26" customFormat="1" ht="14.25">
      <c r="A60" s="241" t="s">
        <v>212</v>
      </c>
      <c r="B60" s="31" t="s">
        <v>200</v>
      </c>
      <c r="C60" s="32" t="s">
        <v>201</v>
      </c>
      <c r="D60" s="32" t="s">
        <v>154</v>
      </c>
      <c r="E60" s="290"/>
      <c r="F60" s="34">
        <f>H18/2</f>
        <v>169037.56927006113</v>
      </c>
      <c r="J60" s="338" t="s">
        <v>1397</v>
      </c>
    </row>
    <row r="61" spans="1:10" s="26" customFormat="1" ht="18.75">
      <c r="A61" s="241" t="s">
        <v>216</v>
      </c>
      <c r="B61" s="31" t="s">
        <v>1243</v>
      </c>
      <c r="C61" s="32" t="s">
        <v>202</v>
      </c>
      <c r="D61" s="28" t="s">
        <v>150</v>
      </c>
      <c r="E61" s="290" t="s">
        <v>1247</v>
      </c>
      <c r="F61" s="292">
        <v>250</v>
      </c>
      <c r="J61" s="336" t="s">
        <v>1391</v>
      </c>
    </row>
    <row r="62" spans="1:10" s="26" customFormat="1" ht="18.75">
      <c r="A62" s="241" t="s">
        <v>217</v>
      </c>
      <c r="B62" s="28" t="s">
        <v>205</v>
      </c>
      <c r="C62" s="32" t="s">
        <v>206</v>
      </c>
      <c r="D62" s="32" t="s">
        <v>158</v>
      </c>
      <c r="E62" s="32" t="s">
        <v>208</v>
      </c>
      <c r="F62" s="35">
        <f>F54+(F57+F55+F56+F58)*(101325/F59)</f>
        <v>8670.1043167540774</v>
      </c>
      <c r="J62" s="337" t="s">
        <v>1379</v>
      </c>
    </row>
    <row r="63" spans="1:10" s="26" customFormat="1" ht="18.75">
      <c r="A63" s="241" t="s">
        <v>219</v>
      </c>
      <c r="B63" s="28" t="s">
        <v>210</v>
      </c>
      <c r="C63" s="32" t="s">
        <v>211</v>
      </c>
      <c r="D63" s="28"/>
      <c r="E63" s="28">
        <v>1.2</v>
      </c>
      <c r="F63" s="36">
        <f>F62*1.2</f>
        <v>10404.125180104893</v>
      </c>
      <c r="J63" s="337" t="s">
        <v>1389</v>
      </c>
    </row>
    <row r="64" spans="1:10" s="26" customFormat="1" ht="18.75">
      <c r="A64" s="241" t="s">
        <v>222</v>
      </c>
      <c r="B64" s="28" t="s">
        <v>213</v>
      </c>
      <c r="C64" s="32" t="s">
        <v>214</v>
      </c>
      <c r="D64" s="32" t="s">
        <v>154</v>
      </c>
      <c r="E64" s="28">
        <v>1.1000000000000001</v>
      </c>
      <c r="F64" s="30">
        <f>F60*1.1</f>
        <v>185941.32619706725</v>
      </c>
      <c r="J64" s="337" t="s">
        <v>1388</v>
      </c>
    </row>
    <row r="65" spans="1:10" s="26" customFormat="1" ht="14.25">
      <c r="A65" s="241" t="s">
        <v>227</v>
      </c>
      <c r="B65" s="28" t="s">
        <v>236</v>
      </c>
      <c r="C65" s="28" t="s">
        <v>218</v>
      </c>
      <c r="D65" s="28"/>
      <c r="E65" s="28" t="s">
        <v>1961</v>
      </c>
      <c r="F65" s="38">
        <v>0.75</v>
      </c>
      <c r="J65" s="336" t="s">
        <v>1391</v>
      </c>
    </row>
    <row r="66" spans="1:10" s="26" customFormat="1" ht="18.75">
      <c r="A66" s="241" t="s">
        <v>230</v>
      </c>
      <c r="B66" s="28" t="s">
        <v>220</v>
      </c>
      <c r="C66" s="28" t="s">
        <v>221</v>
      </c>
      <c r="D66" s="28"/>
      <c r="E66" s="28" t="s">
        <v>1962</v>
      </c>
      <c r="F66" s="37">
        <v>0.95</v>
      </c>
      <c r="J66" s="336" t="s">
        <v>1391</v>
      </c>
    </row>
    <row r="67" spans="1:10" s="26" customFormat="1" ht="18.75">
      <c r="A67" s="241" t="s">
        <v>231</v>
      </c>
      <c r="B67" s="28" t="s">
        <v>223</v>
      </c>
      <c r="C67" s="32" t="s">
        <v>224</v>
      </c>
      <c r="D67" s="28" t="s">
        <v>225</v>
      </c>
      <c r="E67" s="28" t="s">
        <v>226</v>
      </c>
      <c r="F67" s="175">
        <f>F63*F64/F65/3600/1000</f>
        <v>716.50253107740912</v>
      </c>
      <c r="J67" s="337" t="s">
        <v>1379</v>
      </c>
    </row>
    <row r="68" spans="1:10" s="26" customFormat="1" ht="14.25">
      <c r="A68" s="241" t="s">
        <v>883</v>
      </c>
      <c r="B68" s="28" t="s">
        <v>228</v>
      </c>
      <c r="C68" s="28" t="s">
        <v>229</v>
      </c>
      <c r="D68" s="28"/>
      <c r="E68" s="28" t="s">
        <v>1963</v>
      </c>
      <c r="F68" s="38">
        <v>1.1000000000000001</v>
      </c>
      <c r="J68" s="336" t="s">
        <v>1391</v>
      </c>
    </row>
    <row r="69" spans="1:10" s="26" customFormat="1" ht="18.75">
      <c r="A69" s="241" t="s">
        <v>886</v>
      </c>
      <c r="B69" s="28" t="s">
        <v>237</v>
      </c>
      <c r="C69" s="28" t="s">
        <v>238</v>
      </c>
      <c r="D69" s="28" t="s">
        <v>225</v>
      </c>
      <c r="E69" s="28" t="s">
        <v>239</v>
      </c>
      <c r="F69" s="30">
        <f>F68*F67/F66</f>
        <v>829.63450966857897</v>
      </c>
      <c r="G69" s="395" t="s">
        <v>1254</v>
      </c>
      <c r="H69" s="395"/>
      <c r="J69" s="337" t="s">
        <v>1379</v>
      </c>
    </row>
    <row r="70" spans="1:10" ht="14.25">
      <c r="A70" s="25" t="s">
        <v>1248</v>
      </c>
      <c r="B70" s="26"/>
      <c r="C70" s="26"/>
      <c r="D70" s="26"/>
      <c r="E70" s="26"/>
      <c r="F70" s="26"/>
      <c r="G70" s="26"/>
      <c r="H70" s="26"/>
    </row>
    <row r="71" spans="1:10">
      <c r="A71" s="241" t="s">
        <v>148</v>
      </c>
      <c r="B71" s="28" t="s">
        <v>190</v>
      </c>
      <c r="C71" s="28" t="s">
        <v>191</v>
      </c>
      <c r="D71" s="28" t="s">
        <v>192</v>
      </c>
      <c r="E71" s="28" t="s">
        <v>193</v>
      </c>
      <c r="F71" s="241" t="s">
        <v>194</v>
      </c>
      <c r="G71" s="26"/>
      <c r="H71" s="26"/>
    </row>
    <row r="72" spans="1:10" ht="14.25">
      <c r="A72" s="241" t="s">
        <v>152</v>
      </c>
      <c r="B72" s="31" t="s">
        <v>1244</v>
      </c>
      <c r="C72" s="28" t="s">
        <v>151</v>
      </c>
      <c r="D72" s="28" t="s">
        <v>150</v>
      </c>
      <c r="E72" s="28" t="s">
        <v>1964</v>
      </c>
      <c r="F72" s="28">
        <v>20</v>
      </c>
      <c r="G72" s="26"/>
      <c r="H72" s="26"/>
      <c r="J72" s="336" t="s">
        <v>1391</v>
      </c>
    </row>
    <row r="73" spans="1:10" ht="18.75">
      <c r="A73" s="241" t="s">
        <v>156</v>
      </c>
      <c r="B73" s="28" t="s">
        <v>1249</v>
      </c>
      <c r="C73" s="32" t="s">
        <v>1227</v>
      </c>
      <c r="D73" s="32" t="s">
        <v>1241</v>
      </c>
      <c r="E73" s="289" t="s">
        <v>1250</v>
      </c>
      <c r="F73" s="29">
        <v>25000</v>
      </c>
      <c r="G73" s="26"/>
      <c r="H73" s="26"/>
      <c r="J73" s="336" t="s">
        <v>1383</v>
      </c>
    </row>
    <row r="74" spans="1:10">
      <c r="A74" s="241"/>
      <c r="B74" s="28" t="s">
        <v>1251</v>
      </c>
      <c r="C74" s="32" t="s">
        <v>1252</v>
      </c>
      <c r="D74" s="32" t="s">
        <v>1242</v>
      </c>
      <c r="E74" s="289"/>
      <c r="F74" s="29">
        <v>500</v>
      </c>
      <c r="G74" s="26"/>
      <c r="H74" s="26"/>
      <c r="J74" s="336" t="s">
        <v>1383</v>
      </c>
    </row>
    <row r="75" spans="1:10" ht="18.75">
      <c r="A75" s="241" t="s">
        <v>164</v>
      </c>
      <c r="B75" s="28" t="s">
        <v>157</v>
      </c>
      <c r="C75" s="32" t="s">
        <v>166</v>
      </c>
      <c r="D75" s="32" t="s">
        <v>158</v>
      </c>
      <c r="E75" s="28"/>
      <c r="F75" s="28">
        <f>G17</f>
        <v>86755</v>
      </c>
      <c r="G75" s="26"/>
      <c r="H75" s="26"/>
      <c r="J75" s="336" t="s">
        <v>1384</v>
      </c>
    </row>
    <row r="76" spans="1:10" ht="14.25">
      <c r="A76" s="241" t="s">
        <v>167</v>
      </c>
      <c r="B76" s="31" t="s">
        <v>200</v>
      </c>
      <c r="C76" s="32" t="s">
        <v>201</v>
      </c>
      <c r="D76" s="32" t="s">
        <v>154</v>
      </c>
      <c r="E76" s="290"/>
      <c r="F76" s="34">
        <v>950</v>
      </c>
      <c r="G76" s="26"/>
      <c r="H76" s="26"/>
      <c r="J76" s="336" t="s">
        <v>1383</v>
      </c>
    </row>
    <row r="77" spans="1:10" ht="18.75">
      <c r="A77" s="241" t="s">
        <v>204</v>
      </c>
      <c r="B77" s="31" t="s">
        <v>1243</v>
      </c>
      <c r="C77" s="32" t="s">
        <v>202</v>
      </c>
      <c r="D77" s="28" t="s">
        <v>150</v>
      </c>
      <c r="E77" s="290" t="s">
        <v>1245</v>
      </c>
      <c r="F77" s="31">
        <v>20</v>
      </c>
      <c r="G77" s="26"/>
      <c r="H77" s="26"/>
      <c r="J77" s="336" t="s">
        <v>1391</v>
      </c>
    </row>
    <row r="78" spans="1:10" ht="18.75">
      <c r="A78" s="241" t="s">
        <v>209</v>
      </c>
      <c r="B78" s="28" t="s">
        <v>205</v>
      </c>
      <c r="C78" s="32" t="s">
        <v>206</v>
      </c>
      <c r="D78" s="32" t="s">
        <v>158</v>
      </c>
      <c r="E78" s="32" t="s">
        <v>208</v>
      </c>
      <c r="F78" s="35">
        <f>F73+F74*(101325/F75)</f>
        <v>25583.972105354158</v>
      </c>
      <c r="G78" s="26"/>
      <c r="H78" s="26"/>
      <c r="J78" s="337" t="s">
        <v>1379</v>
      </c>
    </row>
    <row r="79" spans="1:10" ht="18.75">
      <c r="A79" s="241" t="s">
        <v>212</v>
      </c>
      <c r="B79" s="28" t="s">
        <v>210</v>
      </c>
      <c r="C79" s="32" t="s">
        <v>211</v>
      </c>
      <c r="D79" s="28"/>
      <c r="E79" s="28">
        <v>1.1000000000000001</v>
      </c>
      <c r="F79" s="36">
        <f>F78*1.2</f>
        <v>30700.766526424988</v>
      </c>
      <c r="G79" s="26"/>
      <c r="H79" s="26"/>
      <c r="J79" s="337" t="s">
        <v>1389</v>
      </c>
    </row>
    <row r="80" spans="1:10" ht="18.75">
      <c r="A80" s="241" t="s">
        <v>216</v>
      </c>
      <c r="B80" s="28" t="s">
        <v>213</v>
      </c>
      <c r="C80" s="32" t="s">
        <v>214</v>
      </c>
      <c r="D80" s="32" t="s">
        <v>154</v>
      </c>
      <c r="E80" s="28">
        <v>1.3</v>
      </c>
      <c r="F80" s="30">
        <f>F76*1.3</f>
        <v>1235</v>
      </c>
      <c r="G80" s="26"/>
      <c r="H80" s="26"/>
      <c r="J80" s="337" t="s">
        <v>1388</v>
      </c>
    </row>
    <row r="81" spans="1:10" ht="14.25">
      <c r="A81" s="241" t="s">
        <v>217</v>
      </c>
      <c r="B81" s="28" t="s">
        <v>236</v>
      </c>
      <c r="C81" s="28" t="s">
        <v>218</v>
      </c>
      <c r="D81" s="28"/>
      <c r="E81" s="28" t="s">
        <v>1961</v>
      </c>
      <c r="F81" s="38">
        <v>0.75</v>
      </c>
      <c r="G81" s="26"/>
      <c r="H81" s="26"/>
      <c r="J81" s="336" t="s">
        <v>1391</v>
      </c>
    </row>
    <row r="82" spans="1:10" ht="18.75">
      <c r="A82" s="241" t="s">
        <v>219</v>
      </c>
      <c r="B82" s="28" t="s">
        <v>220</v>
      </c>
      <c r="C82" s="28" t="s">
        <v>221</v>
      </c>
      <c r="D82" s="28"/>
      <c r="E82" s="28" t="s">
        <v>1962</v>
      </c>
      <c r="F82" s="37">
        <v>0.95</v>
      </c>
      <c r="G82" s="26"/>
      <c r="H82" s="26"/>
      <c r="J82" s="336" t="s">
        <v>1391</v>
      </c>
    </row>
    <row r="83" spans="1:10" ht="18.75">
      <c r="A83" s="241" t="s">
        <v>222</v>
      </c>
      <c r="B83" s="28" t="s">
        <v>223</v>
      </c>
      <c r="C83" s="32" t="s">
        <v>224</v>
      </c>
      <c r="D83" s="28" t="s">
        <v>225</v>
      </c>
      <c r="E83" s="28" t="s">
        <v>226</v>
      </c>
      <c r="F83" s="175">
        <f>F79*F80/F81/3600/1000</f>
        <v>14.042758022272171</v>
      </c>
      <c r="G83" s="26"/>
      <c r="H83" s="26"/>
      <c r="J83" s="337" t="s">
        <v>1379</v>
      </c>
    </row>
    <row r="84" spans="1:10" ht="14.25">
      <c r="A84" s="241" t="s">
        <v>227</v>
      </c>
      <c r="B84" s="28" t="s">
        <v>228</v>
      </c>
      <c r="C84" s="28" t="s">
        <v>229</v>
      </c>
      <c r="D84" s="28"/>
      <c r="E84" s="28" t="s">
        <v>1963</v>
      </c>
      <c r="F84" s="38">
        <v>1.1000000000000001</v>
      </c>
      <c r="G84" s="26"/>
      <c r="H84" s="26"/>
      <c r="J84" s="336" t="s">
        <v>1391</v>
      </c>
    </row>
    <row r="85" spans="1:10" ht="18.75">
      <c r="A85" s="241" t="s">
        <v>230</v>
      </c>
      <c r="B85" s="28" t="s">
        <v>237</v>
      </c>
      <c r="C85" s="28" t="s">
        <v>238</v>
      </c>
      <c r="D85" s="28" t="s">
        <v>225</v>
      </c>
      <c r="E85" s="28" t="s">
        <v>239</v>
      </c>
      <c r="F85" s="30">
        <f>F84*F83/F82</f>
        <v>16.260035604736199</v>
      </c>
      <c r="G85" s="395" t="s">
        <v>1253</v>
      </c>
      <c r="H85" s="395"/>
      <c r="J85" s="337" t="s">
        <v>1379</v>
      </c>
    </row>
  </sheetData>
  <mergeCells count="4">
    <mergeCell ref="G85:H85"/>
    <mergeCell ref="G34:H34"/>
    <mergeCell ref="G50:H50"/>
    <mergeCell ref="G69:H69"/>
  </mergeCells>
  <phoneticPr fontId="14" type="noConversion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5" tint="-0.249977111117893"/>
  </sheetPr>
  <dimension ref="A1:G85"/>
  <sheetViews>
    <sheetView topLeftCell="A67" workbookViewId="0">
      <selection activeCell="J82" sqref="J82"/>
    </sheetView>
  </sheetViews>
  <sheetFormatPr defaultRowHeight="13.5"/>
  <cols>
    <col min="2" max="2" width="33.375" customWidth="1"/>
    <col min="5" max="5" width="33" customWidth="1"/>
    <col min="6" max="6" width="17.5" style="123" customWidth="1"/>
    <col min="7" max="7" width="15" customWidth="1"/>
  </cols>
  <sheetData>
    <row r="1" spans="1:7">
      <c r="B1" s="299" t="s">
        <v>1265</v>
      </c>
    </row>
    <row r="2" spans="1:7">
      <c r="B2" s="299" t="s">
        <v>1266</v>
      </c>
    </row>
    <row r="3" spans="1:7">
      <c r="B3" s="299" t="s">
        <v>1267</v>
      </c>
    </row>
    <row r="4" spans="1:7">
      <c r="B4" s="299" t="s">
        <v>1268</v>
      </c>
    </row>
    <row r="6" spans="1:7"/>
    <row r="13" spans="1:7">
      <c r="A13" s="8" t="s">
        <v>629</v>
      </c>
      <c r="B13" s="8" t="s">
        <v>642</v>
      </c>
      <c r="C13" s="5"/>
      <c r="D13" s="5"/>
      <c r="E13" s="5"/>
      <c r="F13" s="120"/>
    </row>
    <row r="14" spans="1:7">
      <c r="A14" s="21" t="s">
        <v>33</v>
      </c>
      <c r="B14" s="24" t="s">
        <v>603</v>
      </c>
      <c r="C14" s="24" t="s">
        <v>604</v>
      </c>
      <c r="D14" s="24" t="s">
        <v>605</v>
      </c>
      <c r="E14" s="24" t="s">
        <v>606</v>
      </c>
      <c r="F14" s="451">
        <f>锅炉计算!G8</f>
        <v>0.44</v>
      </c>
      <c r="G14" s="328" t="s">
        <v>1384</v>
      </c>
    </row>
    <row r="15" spans="1:7">
      <c r="A15" s="21" t="s">
        <v>34</v>
      </c>
      <c r="B15" s="24" t="s">
        <v>607</v>
      </c>
      <c r="C15" s="24" t="s">
        <v>608</v>
      </c>
      <c r="D15" s="24" t="s">
        <v>601</v>
      </c>
      <c r="E15" s="24" t="s">
        <v>609</v>
      </c>
      <c r="F15" s="121">
        <f>锅炉计算!G31</f>
        <v>30394.86906594575</v>
      </c>
      <c r="G15" s="348" t="s">
        <v>1405</v>
      </c>
    </row>
    <row r="16" spans="1:7">
      <c r="A16" s="21" t="s">
        <v>35</v>
      </c>
      <c r="B16" s="24" t="s">
        <v>610</v>
      </c>
      <c r="C16" s="24" t="s">
        <v>611</v>
      </c>
      <c r="D16" s="24"/>
      <c r="E16" s="24">
        <v>0.98</v>
      </c>
      <c r="F16" s="121">
        <v>0.98</v>
      </c>
      <c r="G16" s="328" t="s">
        <v>1942</v>
      </c>
    </row>
    <row r="17" spans="1:7">
      <c r="A17" s="21" t="s">
        <v>36</v>
      </c>
      <c r="B17" s="24" t="s">
        <v>625</v>
      </c>
      <c r="C17" s="24" t="s">
        <v>600</v>
      </c>
      <c r="D17" s="24" t="s">
        <v>601</v>
      </c>
      <c r="E17" s="24" t="s">
        <v>602</v>
      </c>
      <c r="F17" s="121">
        <f>2*F16*F15*F14/100</f>
        <v>262.12535082471618</v>
      </c>
      <c r="G17" s="348" t="s">
        <v>1393</v>
      </c>
    </row>
    <row r="18" spans="1:7">
      <c r="A18" s="21" t="s">
        <v>37</v>
      </c>
      <c r="B18" s="24" t="s">
        <v>627</v>
      </c>
      <c r="C18" s="24" t="s">
        <v>612</v>
      </c>
      <c r="D18" s="24" t="s">
        <v>613</v>
      </c>
      <c r="E18" s="24" t="s">
        <v>614</v>
      </c>
      <c r="F18" s="121">
        <f>锅炉计算!G152</f>
        <v>182501.26835196212</v>
      </c>
      <c r="G18" s="348" t="s">
        <v>1415</v>
      </c>
    </row>
    <row r="19" spans="1:7">
      <c r="A19" s="21" t="s">
        <v>38</v>
      </c>
      <c r="B19" s="24" t="s">
        <v>615</v>
      </c>
      <c r="C19" s="24" t="s">
        <v>616</v>
      </c>
      <c r="D19" s="24" t="s">
        <v>628</v>
      </c>
      <c r="E19" s="24" t="s">
        <v>618</v>
      </c>
      <c r="F19" s="121">
        <f>F17/F18*10^6</f>
        <v>1436.2933101330304</v>
      </c>
      <c r="G19" s="348" t="s">
        <v>1393</v>
      </c>
    </row>
    <row r="20" spans="1:7">
      <c r="A20" s="21" t="s">
        <v>39</v>
      </c>
      <c r="B20" s="24" t="s">
        <v>619</v>
      </c>
      <c r="C20" s="24" t="s">
        <v>620</v>
      </c>
      <c r="D20" s="24" t="s">
        <v>605</v>
      </c>
      <c r="E20" s="24"/>
      <c r="F20" s="122">
        <v>96</v>
      </c>
      <c r="G20" s="328" t="s">
        <v>1383</v>
      </c>
    </row>
    <row r="21" spans="1:7">
      <c r="A21" s="21" t="s">
        <v>40</v>
      </c>
      <c r="B21" s="24" t="s">
        <v>621</v>
      </c>
      <c r="C21" s="24" t="s">
        <v>622</v>
      </c>
      <c r="D21" s="24" t="s">
        <v>617</v>
      </c>
      <c r="E21" s="24" t="s">
        <v>623</v>
      </c>
      <c r="F21" s="124">
        <f>(1-F20/100)*F19</f>
        <v>57.451732405321266</v>
      </c>
      <c r="G21" s="348" t="s">
        <v>1393</v>
      </c>
    </row>
    <row r="22" spans="1:7">
      <c r="A22" s="21" t="s">
        <v>41</v>
      </c>
      <c r="B22" s="24" t="s">
        <v>626</v>
      </c>
      <c r="C22" s="24"/>
      <c r="D22" s="24" t="s">
        <v>601</v>
      </c>
      <c r="E22" s="24" t="s">
        <v>624</v>
      </c>
      <c r="F22" s="124">
        <f>(1-F20/100)*F17</f>
        <v>10.485014032988657</v>
      </c>
      <c r="G22" s="348" t="s">
        <v>1393</v>
      </c>
    </row>
    <row r="23" spans="1:7">
      <c r="A23" s="8" t="s">
        <v>721</v>
      </c>
      <c r="B23" s="8" t="s">
        <v>722</v>
      </c>
      <c r="C23" s="5"/>
      <c r="D23" s="5"/>
      <c r="E23" s="5"/>
      <c r="F23" s="120"/>
    </row>
    <row r="24" spans="1:7" ht="14.25">
      <c r="A24" s="21" t="s">
        <v>33</v>
      </c>
      <c r="B24" s="24" t="s">
        <v>723</v>
      </c>
      <c r="C24" s="24"/>
      <c r="D24" s="24" t="s">
        <v>605</v>
      </c>
      <c r="E24" s="24" t="s">
        <v>649</v>
      </c>
      <c r="F24" s="147">
        <v>10</v>
      </c>
      <c r="G24" s="328" t="s">
        <v>1383</v>
      </c>
    </row>
    <row r="25" spans="1:7" ht="18.75">
      <c r="A25" s="21" t="s">
        <v>34</v>
      </c>
      <c r="B25" s="24" t="s">
        <v>724</v>
      </c>
      <c r="C25" s="24" t="s">
        <v>725</v>
      </c>
      <c r="D25" s="24" t="s">
        <v>645</v>
      </c>
      <c r="E25" s="24"/>
      <c r="F25" s="148">
        <f>(1-F20/100*F24/100)*F19</f>
        <v>1298.4091523602597</v>
      </c>
      <c r="G25" s="348" t="s">
        <v>1393</v>
      </c>
    </row>
    <row r="26" spans="1:7" ht="18.75">
      <c r="A26" s="21" t="s">
        <v>35</v>
      </c>
      <c r="B26" s="24" t="s">
        <v>726</v>
      </c>
      <c r="C26" s="24"/>
      <c r="D26" s="24" t="s">
        <v>601</v>
      </c>
      <c r="E26" s="24"/>
      <c r="F26" s="148">
        <f>F17*F20/100*F24/100</f>
        <v>25.164033679172753</v>
      </c>
      <c r="G26" s="348" t="s">
        <v>1393</v>
      </c>
    </row>
    <row r="27" spans="1:7" ht="18.75">
      <c r="A27" s="21" t="s">
        <v>36</v>
      </c>
      <c r="B27" s="24" t="s">
        <v>727</v>
      </c>
      <c r="C27" s="24"/>
      <c r="D27" s="24" t="s">
        <v>668</v>
      </c>
      <c r="E27" s="24" t="s">
        <v>728</v>
      </c>
      <c r="F27" s="148">
        <f>F26/64</f>
        <v>0.39318802623707427</v>
      </c>
      <c r="G27" s="348" t="s">
        <v>1393</v>
      </c>
    </row>
    <row r="28" spans="1:7" ht="14.25">
      <c r="A28" s="21" t="s">
        <v>37</v>
      </c>
      <c r="B28" s="24" t="s">
        <v>729</v>
      </c>
      <c r="C28" s="24"/>
      <c r="D28" s="24"/>
      <c r="E28" s="24" t="s">
        <v>1943</v>
      </c>
      <c r="F28" s="147">
        <v>2</v>
      </c>
      <c r="G28" s="328" t="s">
        <v>1391</v>
      </c>
    </row>
    <row r="29" spans="1:7" ht="18.75">
      <c r="A29" s="21" t="s">
        <v>38</v>
      </c>
      <c r="B29" s="24" t="s">
        <v>730</v>
      </c>
      <c r="C29" s="24"/>
      <c r="D29" s="24" t="s">
        <v>668</v>
      </c>
      <c r="E29" s="24"/>
      <c r="F29" s="148">
        <f>F28*F27</f>
        <v>0.78637605247414855</v>
      </c>
      <c r="G29" s="348" t="s">
        <v>1393</v>
      </c>
    </row>
    <row r="30" spans="1:7" ht="18.75">
      <c r="A30" s="21" t="s">
        <v>39</v>
      </c>
      <c r="B30" s="24" t="s">
        <v>731</v>
      </c>
      <c r="C30" s="24"/>
      <c r="D30" s="24" t="s">
        <v>601</v>
      </c>
      <c r="E30" s="24" t="s">
        <v>732</v>
      </c>
      <c r="F30" s="148">
        <f>F29*100</f>
        <v>78.637605247414854</v>
      </c>
      <c r="G30" s="348" t="s">
        <v>1393</v>
      </c>
    </row>
    <row r="31" spans="1:7" ht="18.75">
      <c r="A31" s="21" t="s">
        <v>40</v>
      </c>
      <c r="B31" s="24" t="s">
        <v>733</v>
      </c>
      <c r="C31" s="24"/>
      <c r="D31" s="24" t="s">
        <v>601</v>
      </c>
      <c r="E31" s="24"/>
      <c r="F31" s="148">
        <f>F30/F28</f>
        <v>39.318802623707427</v>
      </c>
      <c r="G31" s="348" t="s">
        <v>1393</v>
      </c>
    </row>
    <row r="32" spans="1:7" ht="18.75">
      <c r="A32" s="21" t="s">
        <v>41</v>
      </c>
      <c r="B32" s="24" t="s">
        <v>734</v>
      </c>
      <c r="C32" s="24"/>
      <c r="D32" s="24" t="s">
        <v>601</v>
      </c>
      <c r="E32" s="24" t="s">
        <v>735</v>
      </c>
      <c r="F32" s="148">
        <f>F31/100*136</f>
        <v>53.4735715682421</v>
      </c>
      <c r="G32" s="348" t="s">
        <v>1393</v>
      </c>
    </row>
    <row r="33" spans="1:7" ht="14.25">
      <c r="A33" s="21" t="s">
        <v>43</v>
      </c>
      <c r="B33" s="24" t="s">
        <v>736</v>
      </c>
      <c r="C33" s="24"/>
      <c r="D33" s="24" t="s">
        <v>601</v>
      </c>
      <c r="E33" s="24"/>
      <c r="F33" s="148">
        <f>F32-F31</f>
        <v>14.154768944534673</v>
      </c>
      <c r="G33" s="348" t="s">
        <v>1393</v>
      </c>
    </row>
    <row r="34" spans="1:7" ht="14.25">
      <c r="A34" s="21" t="s">
        <v>54</v>
      </c>
      <c r="B34" s="24" t="s">
        <v>737</v>
      </c>
      <c r="C34" s="24"/>
      <c r="D34" s="24" t="s">
        <v>605</v>
      </c>
      <c r="E34" s="24"/>
      <c r="F34" s="147">
        <v>85</v>
      </c>
      <c r="G34" s="328" t="s">
        <v>1942</v>
      </c>
    </row>
    <row r="35" spans="1:7" ht="14.25">
      <c r="A35" s="21" t="s">
        <v>55</v>
      </c>
      <c r="B35" s="353" t="s">
        <v>738</v>
      </c>
      <c r="C35" s="24"/>
      <c r="D35" s="24" t="s">
        <v>601</v>
      </c>
      <c r="E35" s="24" t="s">
        <v>1416</v>
      </c>
      <c r="F35" s="153">
        <f>100*F30/F34</f>
        <v>92.514829702840998</v>
      </c>
      <c r="G35" s="348" t="s">
        <v>1393</v>
      </c>
    </row>
    <row r="36" spans="1:7" ht="14.25">
      <c r="A36" s="21" t="s">
        <v>56</v>
      </c>
      <c r="B36" s="24" t="s">
        <v>739</v>
      </c>
      <c r="C36" s="24"/>
      <c r="D36" s="24" t="s">
        <v>601</v>
      </c>
      <c r="E36" s="24"/>
      <c r="F36" s="153">
        <f>F35+F33</f>
        <v>106.66959864737566</v>
      </c>
      <c r="G36" s="348" t="s">
        <v>1393</v>
      </c>
    </row>
    <row r="37" spans="1:7">
      <c r="A37" s="296" t="s">
        <v>57</v>
      </c>
      <c r="B37" s="9" t="s">
        <v>1270</v>
      </c>
      <c r="C37" s="5"/>
      <c r="D37" s="9" t="s">
        <v>1271</v>
      </c>
      <c r="E37" s="5" t="s">
        <v>1272</v>
      </c>
      <c r="F37" s="120">
        <v>3</v>
      </c>
      <c r="G37" s="328" t="s">
        <v>1383</v>
      </c>
    </row>
    <row r="38" spans="1:7">
      <c r="A38" s="296" t="s">
        <v>58</v>
      </c>
      <c r="B38" s="9" t="s">
        <v>1273</v>
      </c>
      <c r="C38" s="5"/>
      <c r="D38" s="9" t="s">
        <v>1274</v>
      </c>
      <c r="E38" s="5"/>
      <c r="F38" s="120">
        <f>F37*22*F35</f>
        <v>6105.9787603875056</v>
      </c>
      <c r="G38" s="348" t="s">
        <v>1393</v>
      </c>
    </row>
    <row r="39" spans="1:7" ht="14.25">
      <c r="A39" s="296" t="s">
        <v>59</v>
      </c>
      <c r="B39" s="126" t="s">
        <v>1275</v>
      </c>
      <c r="C39" s="126" t="s">
        <v>806</v>
      </c>
      <c r="D39" s="126" t="s">
        <v>1279</v>
      </c>
      <c r="E39" s="126" t="s">
        <v>808</v>
      </c>
      <c r="F39" s="120">
        <v>0.8</v>
      </c>
      <c r="G39" s="328" t="s">
        <v>1391</v>
      </c>
    </row>
    <row r="40" spans="1:7" ht="14.25">
      <c r="A40" s="296" t="s">
        <v>60</v>
      </c>
      <c r="B40" s="126" t="s">
        <v>1276</v>
      </c>
      <c r="C40" s="126" t="s">
        <v>611</v>
      </c>
      <c r="D40" s="5"/>
      <c r="E40" s="126" t="s">
        <v>808</v>
      </c>
      <c r="F40" s="120">
        <v>0.8</v>
      </c>
      <c r="G40" s="328" t="s">
        <v>1391</v>
      </c>
    </row>
    <row r="41" spans="1:7">
      <c r="A41" s="296" t="s">
        <v>61</v>
      </c>
      <c r="B41" s="9" t="s">
        <v>1277</v>
      </c>
      <c r="C41" s="5" t="s">
        <v>1278</v>
      </c>
      <c r="D41" s="9" t="s">
        <v>1280</v>
      </c>
      <c r="E41" s="5"/>
      <c r="F41" s="120">
        <f>F38/F39/F40</f>
        <v>9540.5918131054768</v>
      </c>
      <c r="G41" s="348" t="s">
        <v>1393</v>
      </c>
    </row>
    <row r="42" spans="1:7">
      <c r="A42" s="296" t="s">
        <v>62</v>
      </c>
      <c r="B42" s="9" t="s">
        <v>1281</v>
      </c>
      <c r="C42" s="5"/>
      <c r="D42" s="5"/>
      <c r="E42" s="5"/>
      <c r="F42" s="120">
        <f>F41/3.14/(F43/2)^2</f>
        <v>486.14480576333642</v>
      </c>
      <c r="G42" s="348" t="s">
        <v>1393</v>
      </c>
    </row>
    <row r="43" spans="1:7">
      <c r="A43" s="296" t="s">
        <v>63</v>
      </c>
      <c r="B43" s="9" t="s">
        <v>1282</v>
      </c>
      <c r="C43" s="5"/>
      <c r="D43" s="5"/>
      <c r="E43" s="5"/>
      <c r="F43" s="120">
        <v>5</v>
      </c>
      <c r="G43" s="328" t="s">
        <v>1383</v>
      </c>
    </row>
    <row r="44" spans="1:7">
      <c r="A44" s="8" t="s">
        <v>44</v>
      </c>
      <c r="B44" s="8" t="s">
        <v>630</v>
      </c>
      <c r="C44" s="24"/>
      <c r="D44" s="24"/>
      <c r="E44" s="24"/>
      <c r="F44" s="121"/>
    </row>
    <row r="45" spans="1:7">
      <c r="A45" s="21" t="s">
        <v>33</v>
      </c>
      <c r="B45" s="24" t="s">
        <v>631</v>
      </c>
      <c r="C45" s="24" t="s">
        <v>632</v>
      </c>
      <c r="D45" s="24"/>
      <c r="E45" s="24" t="s">
        <v>633</v>
      </c>
      <c r="F45" s="121">
        <v>0.85</v>
      </c>
      <c r="G45" s="328" t="s">
        <v>1944</v>
      </c>
    </row>
    <row r="46" spans="1:7">
      <c r="A46" s="21" t="s">
        <v>34</v>
      </c>
      <c r="B46" s="24" t="s">
        <v>634</v>
      </c>
      <c r="C46" s="24" t="s">
        <v>635</v>
      </c>
      <c r="D46" s="24"/>
      <c r="E46" s="24">
        <v>1.05</v>
      </c>
      <c r="F46" s="122">
        <v>1.05</v>
      </c>
      <c r="G46" s="328" t="s">
        <v>1945</v>
      </c>
    </row>
    <row r="47" spans="1:7">
      <c r="A47" s="21" t="s">
        <v>35</v>
      </c>
      <c r="B47" s="24" t="s">
        <v>619</v>
      </c>
      <c r="C47" s="24" t="s">
        <v>620</v>
      </c>
      <c r="D47" s="24" t="s">
        <v>605</v>
      </c>
      <c r="E47" s="24">
        <v>99.5</v>
      </c>
      <c r="F47" s="121">
        <v>99.5</v>
      </c>
      <c r="G47" s="328" t="s">
        <v>1391</v>
      </c>
    </row>
    <row r="48" spans="1:7">
      <c r="A48" s="21" t="s">
        <v>36</v>
      </c>
      <c r="B48" s="24" t="s">
        <v>636</v>
      </c>
      <c r="C48" s="24" t="s">
        <v>637</v>
      </c>
      <c r="D48" s="24" t="s">
        <v>601</v>
      </c>
      <c r="E48" s="24" t="s">
        <v>638</v>
      </c>
      <c r="F48" s="124">
        <f>100/32*F14/100*F15*F47/100*F46/F45</f>
        <v>513.68446179869863</v>
      </c>
      <c r="G48" s="348" t="s">
        <v>1393</v>
      </c>
    </row>
    <row r="49" spans="1:7">
      <c r="A49" s="21" t="s">
        <v>37</v>
      </c>
      <c r="B49" s="24" t="s">
        <v>639</v>
      </c>
      <c r="C49" s="24" t="s">
        <v>640</v>
      </c>
      <c r="D49" s="24" t="s">
        <v>601</v>
      </c>
      <c r="E49" s="24" t="s">
        <v>641</v>
      </c>
      <c r="F49" s="124">
        <f>136/32*F14/100*F15*F47/100*F46/F45</f>
        <v>698.61086804623017</v>
      </c>
      <c r="G49" s="348" t="s">
        <v>1393</v>
      </c>
    </row>
    <row r="50" spans="1:7">
      <c r="A50" s="8" t="s">
        <v>98</v>
      </c>
      <c r="B50" s="8" t="s">
        <v>643</v>
      </c>
      <c r="C50" s="24"/>
      <c r="D50" s="24"/>
      <c r="E50" s="24"/>
      <c r="F50" s="121"/>
    </row>
    <row r="51" spans="1:7" ht="18.75">
      <c r="A51" s="21" t="s">
        <v>33</v>
      </c>
      <c r="B51" s="24" t="s">
        <v>652</v>
      </c>
      <c r="C51" s="24" t="s">
        <v>644</v>
      </c>
      <c r="D51" s="24" t="s">
        <v>645</v>
      </c>
      <c r="E51" s="24" t="s">
        <v>646</v>
      </c>
      <c r="F51" s="128">
        <v>280</v>
      </c>
      <c r="G51" s="328" t="s">
        <v>1946</v>
      </c>
    </row>
    <row r="52" spans="1:7">
      <c r="A52" s="21" t="s">
        <v>34</v>
      </c>
      <c r="B52" s="24" t="s">
        <v>647</v>
      </c>
      <c r="C52" s="24" t="s">
        <v>612</v>
      </c>
      <c r="D52" s="24" t="s">
        <v>613</v>
      </c>
      <c r="E52" s="24" t="s">
        <v>614</v>
      </c>
      <c r="F52" s="121">
        <f>F18</f>
        <v>182501.26835196212</v>
      </c>
      <c r="G52" s="348" t="s">
        <v>1415</v>
      </c>
    </row>
    <row r="53" spans="1:7" ht="14.25">
      <c r="A53" s="21" t="s">
        <v>35</v>
      </c>
      <c r="B53" s="24" t="s">
        <v>648</v>
      </c>
      <c r="C53" s="24" t="s">
        <v>620</v>
      </c>
      <c r="D53" s="24" t="s">
        <v>605</v>
      </c>
      <c r="E53" s="24" t="s">
        <v>649</v>
      </c>
      <c r="F53" s="129">
        <v>65</v>
      </c>
      <c r="G53" s="328" t="s">
        <v>1944</v>
      </c>
    </row>
    <row r="54" spans="1:7" ht="18.75">
      <c r="A54" s="21" t="s">
        <v>36</v>
      </c>
      <c r="B54" s="24" t="s">
        <v>653</v>
      </c>
      <c r="C54" s="24" t="s">
        <v>650</v>
      </c>
      <c r="D54" s="24" t="s">
        <v>601</v>
      </c>
      <c r="E54" s="24" t="s">
        <v>651</v>
      </c>
      <c r="F54" s="130">
        <f>F51*F52*10^-6</f>
        <v>51.100355138549389</v>
      </c>
      <c r="G54" s="348" t="s">
        <v>1393</v>
      </c>
    </row>
    <row r="55" spans="1:7" ht="18.75">
      <c r="A55" s="21" t="s">
        <v>37</v>
      </c>
      <c r="B55" s="24" t="s">
        <v>656</v>
      </c>
      <c r="C55" s="24" t="s">
        <v>654</v>
      </c>
      <c r="D55" s="24" t="s">
        <v>645</v>
      </c>
      <c r="E55" s="24" t="s">
        <v>655</v>
      </c>
      <c r="F55" s="22">
        <f>(1-F53/100)*F51</f>
        <v>98</v>
      </c>
      <c r="G55" s="348" t="s">
        <v>1393</v>
      </c>
    </row>
    <row r="56" spans="1:7" ht="18.75">
      <c r="A56" s="21" t="s">
        <v>38</v>
      </c>
      <c r="B56" s="24" t="s">
        <v>660</v>
      </c>
      <c r="C56" s="24" t="s">
        <v>657</v>
      </c>
      <c r="D56" s="24" t="s">
        <v>645</v>
      </c>
      <c r="E56" s="24" t="s">
        <v>606</v>
      </c>
      <c r="F56" s="131">
        <v>100</v>
      </c>
      <c r="G56" s="349" t="s">
        <v>1947</v>
      </c>
    </row>
    <row r="57" spans="1:7" ht="18.75">
      <c r="A57" s="21" t="s">
        <v>39</v>
      </c>
      <c r="B57" s="24" t="s">
        <v>661</v>
      </c>
      <c r="C57" s="24" t="s">
        <v>658</v>
      </c>
      <c r="D57" s="24" t="s">
        <v>601</v>
      </c>
      <c r="E57" s="24" t="s">
        <v>659</v>
      </c>
      <c r="F57" s="137">
        <f>(1-F53/100)*F54</f>
        <v>17.885124298492286</v>
      </c>
      <c r="G57" s="348" t="s">
        <v>1393</v>
      </c>
    </row>
    <row r="58" spans="1:7">
      <c r="A58" s="8" t="s">
        <v>662</v>
      </c>
      <c r="B58" s="8" t="s">
        <v>663</v>
      </c>
    </row>
    <row r="59" spans="1:7" ht="14.25">
      <c r="A59" s="21" t="s">
        <v>33</v>
      </c>
      <c r="B59" s="125" t="s">
        <v>666</v>
      </c>
      <c r="C59" s="24" t="s">
        <v>664</v>
      </c>
      <c r="D59" s="24" t="s">
        <v>605</v>
      </c>
      <c r="E59" s="24"/>
      <c r="F59" s="132">
        <v>0</v>
      </c>
      <c r="G59" s="328" t="s">
        <v>1383</v>
      </c>
    </row>
    <row r="60" spans="1:7" ht="14.25">
      <c r="A60" s="21" t="s">
        <v>34</v>
      </c>
      <c r="B60" s="24" t="s">
        <v>667</v>
      </c>
      <c r="C60" s="24"/>
      <c r="D60" s="24" t="s">
        <v>601</v>
      </c>
      <c r="E60" s="24" t="s">
        <v>665</v>
      </c>
      <c r="F60" s="133">
        <f>(F54-F57)*F59/100</f>
        <v>0</v>
      </c>
      <c r="G60" s="348" t="s">
        <v>1393</v>
      </c>
    </row>
    <row r="61" spans="1:7" ht="18.75">
      <c r="A61" s="21" t="s">
        <v>35</v>
      </c>
      <c r="B61" s="24" t="s">
        <v>673</v>
      </c>
      <c r="C61" s="24"/>
      <c r="D61" s="24" t="s">
        <v>601</v>
      </c>
      <c r="E61" s="24"/>
      <c r="F61" s="135">
        <f>F54-F60</f>
        <v>51.100355138549389</v>
      </c>
      <c r="G61" s="348" t="s">
        <v>1393</v>
      </c>
    </row>
    <row r="62" spans="1:7" ht="14.25">
      <c r="A62" s="21" t="s">
        <v>36</v>
      </c>
      <c r="B62" s="24" t="s">
        <v>674</v>
      </c>
      <c r="C62" s="24"/>
      <c r="D62" s="24" t="s">
        <v>668</v>
      </c>
      <c r="E62" s="24"/>
      <c r="F62" s="135">
        <f>F60/46</f>
        <v>0</v>
      </c>
      <c r="G62" s="348" t="s">
        <v>1393</v>
      </c>
    </row>
    <row r="63" spans="1:7" ht="16.5">
      <c r="A63" s="21" t="s">
        <v>37</v>
      </c>
      <c r="B63" s="125" t="s">
        <v>675</v>
      </c>
      <c r="C63" s="24"/>
      <c r="D63" s="24" t="s">
        <v>645</v>
      </c>
      <c r="E63" s="24" t="s">
        <v>1948</v>
      </c>
      <c r="F63" s="134">
        <v>8</v>
      </c>
      <c r="G63" s="328" t="s">
        <v>1391</v>
      </c>
    </row>
    <row r="64" spans="1:7" ht="14.25">
      <c r="A64" s="21" t="s">
        <v>38</v>
      </c>
      <c r="B64" s="125" t="s">
        <v>676</v>
      </c>
      <c r="C64" s="24"/>
      <c r="D64" s="24" t="s">
        <v>601</v>
      </c>
      <c r="E64" s="24"/>
      <c r="F64" s="135">
        <f>F63*F52/10^6</f>
        <v>1.460010146815697</v>
      </c>
      <c r="G64" s="348" t="s">
        <v>1393</v>
      </c>
    </row>
    <row r="65" spans="1:7" ht="18.75">
      <c r="A65" s="21" t="s">
        <v>39</v>
      </c>
      <c r="B65" s="125" t="s">
        <v>677</v>
      </c>
      <c r="C65" s="24"/>
      <c r="D65" s="24" t="s">
        <v>601</v>
      </c>
      <c r="E65" s="24" t="s">
        <v>672</v>
      </c>
      <c r="F65" s="135">
        <f>F64/34*60</f>
        <v>2.5764884943806416</v>
      </c>
      <c r="G65" s="348" t="s">
        <v>1393</v>
      </c>
    </row>
    <row r="66" spans="1:7" ht="18.75">
      <c r="A66" s="21" t="s">
        <v>40</v>
      </c>
      <c r="B66" s="125" t="s">
        <v>685</v>
      </c>
      <c r="C66" s="125"/>
      <c r="D66" s="125"/>
      <c r="E66" s="125">
        <v>0.8</v>
      </c>
      <c r="F66" s="136">
        <v>0.8</v>
      </c>
      <c r="G66" s="328" t="s">
        <v>1391</v>
      </c>
    </row>
    <row r="67" spans="1:7" ht="18.75">
      <c r="A67" s="21" t="s">
        <v>41</v>
      </c>
      <c r="B67" s="125" t="s">
        <v>686</v>
      </c>
      <c r="C67" s="125"/>
      <c r="D67" s="125"/>
      <c r="E67" s="125" t="s">
        <v>680</v>
      </c>
      <c r="F67" s="136">
        <f>F66/2</f>
        <v>0.4</v>
      </c>
      <c r="G67" s="348" t="s">
        <v>1393</v>
      </c>
    </row>
    <row r="68" spans="1:7" ht="18.75">
      <c r="A68" s="21" t="s">
        <v>42</v>
      </c>
      <c r="B68" s="125" t="s">
        <v>687</v>
      </c>
      <c r="C68" s="125"/>
      <c r="D68" s="125"/>
      <c r="E68" s="125">
        <v>1</v>
      </c>
      <c r="F68" s="136">
        <v>1</v>
      </c>
      <c r="G68" s="328" t="s">
        <v>1945</v>
      </c>
    </row>
    <row r="69" spans="1:7" ht="14.25">
      <c r="A69" s="21" t="s">
        <v>43</v>
      </c>
      <c r="B69" s="125" t="s">
        <v>688</v>
      </c>
      <c r="C69" s="125"/>
      <c r="D69" s="125"/>
      <c r="E69" s="125"/>
      <c r="F69" s="136">
        <f>F60*F68*F67</f>
        <v>0</v>
      </c>
      <c r="G69" s="348" t="s">
        <v>1393</v>
      </c>
    </row>
    <row r="70" spans="1:7" ht="14.25">
      <c r="A70" s="21" t="s">
        <v>54</v>
      </c>
      <c r="B70" s="125" t="s">
        <v>689</v>
      </c>
      <c r="C70" s="125"/>
      <c r="D70" s="125" t="s">
        <v>601</v>
      </c>
      <c r="E70" s="125" t="s">
        <v>684</v>
      </c>
      <c r="F70" s="136">
        <f>F60*F68*F67+F65</f>
        <v>2.5764884943806416</v>
      </c>
      <c r="G70" s="348" t="s">
        <v>1393</v>
      </c>
    </row>
    <row r="71" spans="1:7" ht="14.25">
      <c r="A71" s="21" t="s">
        <v>55</v>
      </c>
      <c r="B71" s="125" t="s">
        <v>690</v>
      </c>
      <c r="C71" s="125"/>
      <c r="D71" s="125" t="s">
        <v>601</v>
      </c>
      <c r="E71" s="125"/>
      <c r="F71" s="136">
        <f>F70*95/5</f>
        <v>48.953281393232189</v>
      </c>
      <c r="G71" s="348" t="s">
        <v>1393</v>
      </c>
    </row>
    <row r="72" spans="1:7" ht="14.25">
      <c r="A72" s="21" t="s">
        <v>56</v>
      </c>
      <c r="B72" s="125" t="s">
        <v>691</v>
      </c>
      <c r="C72" s="125"/>
      <c r="D72" s="125"/>
      <c r="E72" s="125" t="s">
        <v>1949</v>
      </c>
      <c r="F72" s="138">
        <v>5</v>
      </c>
      <c r="G72" s="328" t="s">
        <v>1391</v>
      </c>
    </row>
    <row r="73" spans="1:7" ht="14.25">
      <c r="A73" s="21" t="s">
        <v>57</v>
      </c>
      <c r="B73" s="125" t="s">
        <v>693</v>
      </c>
      <c r="C73" s="125"/>
      <c r="D73" s="125" t="s">
        <v>692</v>
      </c>
      <c r="E73" s="125"/>
      <c r="F73" s="137">
        <f>F72*F70*24/1000</f>
        <v>0.30917861932567703</v>
      </c>
      <c r="G73" s="348" t="s">
        <v>1393</v>
      </c>
    </row>
    <row r="74" spans="1:7">
      <c r="A74" s="8" t="s">
        <v>319</v>
      </c>
      <c r="B74" s="8" t="s">
        <v>694</v>
      </c>
    </row>
    <row r="75" spans="1:7" ht="14.25">
      <c r="A75" s="21" t="s">
        <v>33</v>
      </c>
      <c r="B75" s="125" t="s">
        <v>695</v>
      </c>
      <c r="C75" s="125" t="s">
        <v>664</v>
      </c>
      <c r="D75" s="125" t="s">
        <v>605</v>
      </c>
      <c r="E75" s="125"/>
      <c r="F75" s="139">
        <f>100-F59</f>
        <v>100</v>
      </c>
      <c r="G75" s="350" t="s">
        <v>1393</v>
      </c>
    </row>
    <row r="76" spans="1:7" ht="18.75">
      <c r="A76" s="21" t="s">
        <v>34</v>
      </c>
      <c r="B76" s="125" t="s">
        <v>696</v>
      </c>
      <c r="C76" s="125"/>
      <c r="D76" s="125" t="s">
        <v>601</v>
      </c>
      <c r="E76" s="125"/>
      <c r="F76" s="140">
        <f>F57</f>
        <v>17.885124298492286</v>
      </c>
      <c r="G76" s="350" t="s">
        <v>1393</v>
      </c>
    </row>
    <row r="77" spans="1:7" ht="14.25">
      <c r="A77" s="21" t="s">
        <v>35</v>
      </c>
      <c r="B77" s="125" t="s">
        <v>697</v>
      </c>
      <c r="C77" s="125"/>
      <c r="D77" s="125" t="s">
        <v>601</v>
      </c>
      <c r="E77" s="125"/>
      <c r="F77" s="140">
        <f>F61-F57</f>
        <v>33.215230840057103</v>
      </c>
      <c r="G77" s="350" t="s">
        <v>1393</v>
      </c>
    </row>
    <row r="78" spans="1:7" ht="14.25">
      <c r="A78" s="21" t="s">
        <v>36</v>
      </c>
      <c r="B78" s="125" t="s">
        <v>669</v>
      </c>
      <c r="C78" s="125"/>
      <c r="D78" s="125" t="s">
        <v>698</v>
      </c>
      <c r="E78" s="125" t="s">
        <v>1950</v>
      </c>
      <c r="F78" s="141">
        <v>3</v>
      </c>
      <c r="G78" s="328" t="s">
        <v>1391</v>
      </c>
    </row>
    <row r="79" spans="1:7" ht="14.25">
      <c r="A79" s="21" t="s">
        <v>37</v>
      </c>
      <c r="B79" s="125" t="s">
        <v>670</v>
      </c>
      <c r="C79" s="125"/>
      <c r="D79" s="125" t="s">
        <v>601</v>
      </c>
      <c r="E79" s="125"/>
      <c r="F79" s="142">
        <f>F78*F52/10^6*10^3/22.4*17/10^3</f>
        <v>0.41551628062277091</v>
      </c>
      <c r="G79" s="350" t="s">
        <v>1393</v>
      </c>
    </row>
    <row r="80" spans="1:7" ht="18.75">
      <c r="A80" s="21" t="s">
        <v>38</v>
      </c>
      <c r="B80" s="125" t="s">
        <v>671</v>
      </c>
      <c r="C80" s="125"/>
      <c r="D80" s="125" t="s">
        <v>601</v>
      </c>
      <c r="E80" s="125" t="s">
        <v>672</v>
      </c>
      <c r="F80" s="142">
        <f>F79/34*60</f>
        <v>0.73326402462841922</v>
      </c>
      <c r="G80" s="350" t="s">
        <v>1393</v>
      </c>
    </row>
    <row r="81" spans="1:7" ht="18.75">
      <c r="A81" s="21" t="s">
        <v>39</v>
      </c>
      <c r="B81" s="125" t="s">
        <v>678</v>
      </c>
      <c r="C81" s="125"/>
      <c r="D81" s="125"/>
      <c r="E81" s="125" t="s">
        <v>1951</v>
      </c>
      <c r="F81" s="143">
        <v>1</v>
      </c>
      <c r="G81" s="328" t="s">
        <v>1391</v>
      </c>
    </row>
    <row r="82" spans="1:7" ht="18.75">
      <c r="A82" s="21" t="s">
        <v>40</v>
      </c>
      <c r="B82" s="125" t="s">
        <v>679</v>
      </c>
      <c r="C82" s="125"/>
      <c r="D82" s="125"/>
      <c r="E82" s="125" t="s">
        <v>680</v>
      </c>
      <c r="F82" s="144">
        <f>F81/2</f>
        <v>0.5</v>
      </c>
      <c r="G82" s="350" t="s">
        <v>1393</v>
      </c>
    </row>
    <row r="83" spans="1:7" ht="18.75">
      <c r="A83" s="21" t="s">
        <v>41</v>
      </c>
      <c r="B83" s="125" t="s">
        <v>681</v>
      </c>
      <c r="C83" s="125"/>
      <c r="D83" s="125"/>
      <c r="E83" s="125" t="s">
        <v>1951</v>
      </c>
      <c r="F83" s="144">
        <v>1</v>
      </c>
      <c r="G83" s="328" t="s">
        <v>1391</v>
      </c>
    </row>
    <row r="84" spans="1:7" ht="14.25">
      <c r="A84" s="21" t="s">
        <v>42</v>
      </c>
      <c r="B84" s="125" t="s">
        <v>682</v>
      </c>
      <c r="C84" s="125"/>
      <c r="D84" s="125"/>
      <c r="E84" s="125"/>
      <c r="F84" s="144">
        <f>F77*F82*F83</f>
        <v>16.607615420028552</v>
      </c>
      <c r="G84" s="350" t="s">
        <v>1393</v>
      </c>
    </row>
    <row r="85" spans="1:7" ht="14.25">
      <c r="A85" s="21" t="s">
        <v>43</v>
      </c>
      <c r="B85" s="125" t="s">
        <v>683</v>
      </c>
      <c r="C85" s="125"/>
      <c r="D85" s="125" t="s">
        <v>601</v>
      </c>
      <c r="E85" s="125" t="s">
        <v>684</v>
      </c>
      <c r="F85" s="144">
        <f>F80+F84</f>
        <v>17.34087944465697</v>
      </c>
      <c r="G85" s="350" t="s">
        <v>1393</v>
      </c>
    </row>
  </sheetData>
  <phoneticPr fontId="1" type="noConversion"/>
  <pageMargins left="0.7" right="0.7" top="0.75" bottom="0.75" header="0.3" footer="0.3"/>
  <pageSetup paperSize="9" orientation="portrait" verticalDpi="0"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8" tint="-0.249977111117893"/>
  </sheetPr>
  <dimension ref="A1:H39"/>
  <sheetViews>
    <sheetView defaultGridColor="0" topLeftCell="A4" colorId="28" zoomScale="84" zoomScaleNormal="84" workbookViewId="0">
      <selection activeCell="J36" sqref="J36"/>
    </sheetView>
  </sheetViews>
  <sheetFormatPr defaultRowHeight="13.5"/>
  <cols>
    <col min="2" max="2" width="38.875" customWidth="1"/>
    <col min="4" max="4" width="13.625" customWidth="1"/>
    <col min="5" max="5" width="34.125" customWidth="1"/>
    <col min="6" max="6" width="13.5" customWidth="1"/>
    <col min="7" max="7" width="35.375" customWidth="1"/>
  </cols>
  <sheetData>
    <row r="1" spans="1:7" ht="16.5" customHeight="1">
      <c r="A1" s="173" t="s">
        <v>846</v>
      </c>
      <c r="B1" s="391" t="s">
        <v>799</v>
      </c>
      <c r="C1" s="391"/>
      <c r="D1" s="391"/>
    </row>
    <row r="2" spans="1:7" ht="14.25">
      <c r="A2" s="166" t="s">
        <v>798</v>
      </c>
      <c r="B2" s="25" t="s">
        <v>800</v>
      </c>
      <c r="C2" s="172"/>
      <c r="D2" s="172"/>
      <c r="E2" s="125"/>
      <c r="F2" s="148"/>
    </row>
    <row r="3" spans="1:7" ht="14.25">
      <c r="A3" s="154" t="s">
        <v>33</v>
      </c>
      <c r="B3" s="125" t="s">
        <v>752</v>
      </c>
      <c r="C3" s="125"/>
      <c r="D3" s="125" t="s">
        <v>88</v>
      </c>
      <c r="E3" s="125"/>
      <c r="F3" s="148">
        <f>锅炉计算!G33+锅炉计算!G34</f>
        <v>6505.8091013867379</v>
      </c>
      <c r="G3" s="335" t="s">
        <v>1392</v>
      </c>
    </row>
    <row r="4" spans="1:7" ht="14.25">
      <c r="A4" s="154" t="s">
        <v>34</v>
      </c>
      <c r="B4" s="125" t="s">
        <v>104</v>
      </c>
      <c r="C4" s="125" t="s">
        <v>699</v>
      </c>
      <c r="D4" s="125" t="s">
        <v>19</v>
      </c>
      <c r="E4" s="125" t="s">
        <v>1952</v>
      </c>
      <c r="F4" s="148">
        <f>锅炉计算!G35</f>
        <v>0.6</v>
      </c>
      <c r="G4" s="341" t="s">
        <v>1395</v>
      </c>
    </row>
    <row r="5" spans="1:7" ht="14.25">
      <c r="A5" s="154" t="s">
        <v>35</v>
      </c>
      <c r="B5" s="125" t="s">
        <v>751</v>
      </c>
      <c r="C5" s="125" t="s">
        <v>700</v>
      </c>
      <c r="D5" s="125" t="s">
        <v>88</v>
      </c>
      <c r="E5" s="125" t="s">
        <v>701</v>
      </c>
      <c r="F5" s="148">
        <f>F4*F3</f>
        <v>3903.4854608320425</v>
      </c>
      <c r="G5" s="340" t="s">
        <v>1393</v>
      </c>
    </row>
    <row r="6" spans="1:7" ht="16.5">
      <c r="A6" s="154" t="s">
        <v>36</v>
      </c>
      <c r="B6" s="127" t="s">
        <v>489</v>
      </c>
      <c r="C6" s="125" t="s">
        <v>702</v>
      </c>
      <c r="D6" s="125" t="s">
        <v>703</v>
      </c>
      <c r="E6" s="125" t="s">
        <v>614</v>
      </c>
      <c r="F6" s="148">
        <f>锅炉计算!G133</f>
        <v>173320.53184455476</v>
      </c>
      <c r="G6" s="335" t="s">
        <v>1411</v>
      </c>
    </row>
    <row r="7" spans="1:7" ht="16.5">
      <c r="A7" s="154" t="s">
        <v>37</v>
      </c>
      <c r="B7" s="127" t="s">
        <v>490</v>
      </c>
      <c r="C7" s="125" t="s">
        <v>704</v>
      </c>
      <c r="D7" s="125" t="s">
        <v>705</v>
      </c>
      <c r="E7" s="125" t="s">
        <v>614</v>
      </c>
      <c r="F7" s="148">
        <f>锅炉计算!G135</f>
        <v>308602.50123415998</v>
      </c>
      <c r="G7" s="335" t="s">
        <v>1412</v>
      </c>
    </row>
    <row r="8" spans="1:7" ht="16.5">
      <c r="A8" s="154" t="s">
        <v>38</v>
      </c>
      <c r="B8" s="357" t="s">
        <v>750</v>
      </c>
      <c r="C8" s="125" t="s">
        <v>706</v>
      </c>
      <c r="D8" s="125" t="s">
        <v>645</v>
      </c>
      <c r="E8" s="125" t="s">
        <v>707</v>
      </c>
      <c r="F8" s="148">
        <f>F5*10^6/F6</f>
        <v>22521.771767541915</v>
      </c>
      <c r="G8" s="340" t="s">
        <v>1393</v>
      </c>
    </row>
    <row r="9" spans="1:7" ht="16.5">
      <c r="A9" s="154" t="s">
        <v>39</v>
      </c>
      <c r="B9" s="357" t="s">
        <v>749</v>
      </c>
      <c r="C9" s="125" t="s">
        <v>708</v>
      </c>
      <c r="D9" s="125" t="s">
        <v>709</v>
      </c>
      <c r="E9" s="125" t="s">
        <v>710</v>
      </c>
      <c r="F9" s="148">
        <f>F5*10^6/F7</f>
        <v>12648.910638187517</v>
      </c>
      <c r="G9" s="340" t="s">
        <v>1393</v>
      </c>
    </row>
    <row r="10" spans="1:7" ht="14.25">
      <c r="A10" s="154" t="s">
        <v>40</v>
      </c>
      <c r="B10" s="127" t="s">
        <v>748</v>
      </c>
      <c r="C10" s="125" t="s">
        <v>711</v>
      </c>
      <c r="D10" s="125" t="s">
        <v>19</v>
      </c>
      <c r="E10" s="162" t="s">
        <v>1953</v>
      </c>
      <c r="F10" s="146">
        <v>99.8</v>
      </c>
      <c r="G10" s="341" t="s">
        <v>1395</v>
      </c>
    </row>
    <row r="11" spans="1:7" ht="16.5">
      <c r="A11" s="154" t="s">
        <v>41</v>
      </c>
      <c r="B11" s="127" t="s">
        <v>743</v>
      </c>
      <c r="C11" s="125" t="s">
        <v>712</v>
      </c>
      <c r="D11" s="125" t="s">
        <v>645</v>
      </c>
      <c r="E11" s="125" t="s">
        <v>713</v>
      </c>
      <c r="F11" s="148">
        <f>F8*(1-F10/100)</f>
        <v>45.04354353508387</v>
      </c>
      <c r="G11" s="340" t="s">
        <v>1393</v>
      </c>
    </row>
    <row r="12" spans="1:7" ht="14.25">
      <c r="A12" s="154" t="s">
        <v>42</v>
      </c>
      <c r="B12" s="127" t="s">
        <v>744</v>
      </c>
      <c r="C12" s="125" t="s">
        <v>714</v>
      </c>
      <c r="D12" s="125" t="s">
        <v>88</v>
      </c>
      <c r="E12" s="125" t="s">
        <v>715</v>
      </c>
      <c r="F12" s="148">
        <f>F5*(1-F10/100)</f>
        <v>7.8069709216640915</v>
      </c>
      <c r="G12" s="340" t="s">
        <v>1393</v>
      </c>
    </row>
    <row r="13" spans="1:7" ht="14.25">
      <c r="A13" s="154" t="s">
        <v>43</v>
      </c>
      <c r="B13" s="359" t="s">
        <v>745</v>
      </c>
      <c r="C13" s="125" t="s">
        <v>716</v>
      </c>
      <c r="D13" s="125" t="s">
        <v>88</v>
      </c>
      <c r="E13" s="125" t="s">
        <v>717</v>
      </c>
      <c r="F13" s="153">
        <f>F5*F10/100</f>
        <v>3895.6784899103782</v>
      </c>
      <c r="G13" s="340" t="s">
        <v>1393</v>
      </c>
    </row>
    <row r="14" spans="1:7" ht="16.5">
      <c r="A14" s="154" t="s">
        <v>54</v>
      </c>
      <c r="B14" s="358" t="s">
        <v>746</v>
      </c>
      <c r="C14" s="125" t="s">
        <v>718</v>
      </c>
      <c r="D14" s="125" t="s">
        <v>719</v>
      </c>
      <c r="E14" s="125" t="s">
        <v>614</v>
      </c>
      <c r="F14" s="148">
        <f>锅炉计算!G155</f>
        <v>322931.27246220782</v>
      </c>
      <c r="G14" s="335" t="s">
        <v>1413</v>
      </c>
    </row>
    <row r="15" spans="1:7" ht="17.25" thickBot="1">
      <c r="A15" s="154" t="s">
        <v>55</v>
      </c>
      <c r="B15" s="357" t="s">
        <v>747</v>
      </c>
      <c r="C15" s="125"/>
      <c r="D15" s="125" t="s">
        <v>709</v>
      </c>
      <c r="E15" s="125" t="s">
        <v>720</v>
      </c>
      <c r="F15" s="145">
        <f>F5*(1-F10/100)*10^6/F14</f>
        <v>24.175332609131964</v>
      </c>
      <c r="G15" s="340" t="s">
        <v>1393</v>
      </c>
    </row>
    <row r="16" spans="1:7" ht="14.25">
      <c r="A16" s="166" t="s">
        <v>801</v>
      </c>
      <c r="B16" s="25" t="s">
        <v>835</v>
      </c>
      <c r="C16" s="125"/>
      <c r="D16" s="125"/>
      <c r="E16" s="125"/>
      <c r="F16" s="148"/>
    </row>
    <row r="17" spans="1:8" ht="14.25">
      <c r="A17" s="166"/>
      <c r="B17" s="25" t="s">
        <v>1941</v>
      </c>
      <c r="C17" s="125"/>
      <c r="D17" s="125"/>
      <c r="E17" s="163" t="s">
        <v>804</v>
      </c>
      <c r="F17" s="281">
        <v>2.5</v>
      </c>
      <c r="G17" s="341" t="s">
        <v>1954</v>
      </c>
    </row>
    <row r="18" spans="1:8" ht="14.25">
      <c r="A18" s="165" t="s">
        <v>33</v>
      </c>
      <c r="B18" s="359" t="s">
        <v>825</v>
      </c>
      <c r="C18" s="125" t="s">
        <v>802</v>
      </c>
      <c r="D18" s="125" t="s">
        <v>803</v>
      </c>
      <c r="F18" s="153">
        <f>F13*F17/1000</f>
        <v>9.7391962247759452</v>
      </c>
      <c r="G18" s="340" t="s">
        <v>1393</v>
      </c>
    </row>
    <row r="19" spans="1:8" ht="14.25">
      <c r="A19" s="165" t="s">
        <v>34</v>
      </c>
      <c r="B19" s="126" t="s">
        <v>805</v>
      </c>
      <c r="C19" s="126" t="s">
        <v>806</v>
      </c>
      <c r="D19" s="126" t="s">
        <v>807</v>
      </c>
      <c r="E19" s="126" t="s">
        <v>808</v>
      </c>
      <c r="F19" s="159">
        <v>0.75</v>
      </c>
      <c r="G19" s="341" t="s">
        <v>1395</v>
      </c>
    </row>
    <row r="20" spans="1:8" ht="14.25">
      <c r="A20" s="165" t="s">
        <v>35</v>
      </c>
      <c r="B20" s="126" t="s">
        <v>809</v>
      </c>
      <c r="C20" s="126" t="s">
        <v>810</v>
      </c>
      <c r="D20" s="5"/>
      <c r="E20" s="126" t="s">
        <v>811</v>
      </c>
      <c r="F20" s="159">
        <v>0.7</v>
      </c>
      <c r="G20" s="341" t="s">
        <v>1395</v>
      </c>
    </row>
    <row r="21" spans="1:8" ht="14.25">
      <c r="A21" s="165" t="s">
        <v>36</v>
      </c>
      <c r="B21" s="126" t="s">
        <v>812</v>
      </c>
      <c r="C21" s="126" t="s">
        <v>813</v>
      </c>
      <c r="D21" s="126" t="s">
        <v>814</v>
      </c>
      <c r="E21" s="126" t="s">
        <v>815</v>
      </c>
      <c r="F21" s="164">
        <v>2</v>
      </c>
      <c r="G21" s="341" t="s">
        <v>1395</v>
      </c>
    </row>
    <row r="22" spans="1:8" ht="14.25">
      <c r="A22" s="165" t="s">
        <v>37</v>
      </c>
      <c r="B22" s="359" t="s">
        <v>819</v>
      </c>
      <c r="C22" s="126" t="s">
        <v>816</v>
      </c>
      <c r="D22" s="126" t="s">
        <v>817</v>
      </c>
      <c r="E22" s="126" t="s">
        <v>818</v>
      </c>
      <c r="F22" s="167">
        <f>F13/1000*F21*22/F19/F20</f>
        <v>326.4949591543936</v>
      </c>
      <c r="G22" s="340" t="s">
        <v>1393</v>
      </c>
    </row>
    <row r="23" spans="1:8" ht="14.25">
      <c r="A23" s="165" t="s">
        <v>38</v>
      </c>
      <c r="B23" s="358" t="s">
        <v>820</v>
      </c>
      <c r="C23" s="126" t="s">
        <v>821</v>
      </c>
      <c r="D23" s="126" t="s">
        <v>822</v>
      </c>
      <c r="E23" s="5"/>
      <c r="F23" s="169">
        <v>8</v>
      </c>
      <c r="G23" s="341" t="s">
        <v>1955</v>
      </c>
    </row>
    <row r="24" spans="1:8" ht="14.25">
      <c r="A24" s="165" t="s">
        <v>39</v>
      </c>
      <c r="B24" s="358" t="s">
        <v>823</v>
      </c>
      <c r="C24" s="126" t="s">
        <v>824</v>
      </c>
      <c r="D24" s="126" t="s">
        <v>822</v>
      </c>
      <c r="E24" s="5" t="s">
        <v>855</v>
      </c>
      <c r="F24" s="167">
        <f>F22/(3.14*(F23/2)^2)</f>
        <v>6.4987053971814008</v>
      </c>
      <c r="G24" s="340" t="s">
        <v>1393</v>
      </c>
    </row>
    <row r="25" spans="1:8" ht="14.25">
      <c r="A25" s="166" t="s">
        <v>833</v>
      </c>
      <c r="B25" s="25" t="s">
        <v>834</v>
      </c>
      <c r="C25" s="125"/>
      <c r="D25" s="125"/>
      <c r="E25" s="125"/>
      <c r="F25" s="148"/>
    </row>
    <row r="26" spans="1:8" ht="14.25">
      <c r="A26" s="165" t="s">
        <v>33</v>
      </c>
      <c r="B26" s="168" t="s">
        <v>826</v>
      </c>
      <c r="C26" s="125" t="s">
        <v>827</v>
      </c>
      <c r="D26" s="125"/>
      <c r="E26" s="163" t="s">
        <v>828</v>
      </c>
      <c r="F26" s="153">
        <v>15</v>
      </c>
      <c r="G26" s="341" t="s">
        <v>1395</v>
      </c>
    </row>
    <row r="27" spans="1:8" ht="14.25">
      <c r="A27" s="165" t="s">
        <v>34</v>
      </c>
      <c r="B27" s="361" t="s">
        <v>829</v>
      </c>
      <c r="C27" s="126" t="s">
        <v>830</v>
      </c>
      <c r="D27" s="126" t="s">
        <v>832</v>
      </c>
      <c r="E27" s="5" t="s">
        <v>831</v>
      </c>
      <c r="F27" s="167">
        <f>1.2*F18*16.67/F26/1.293</f>
        <v>10.045005479784379</v>
      </c>
      <c r="G27" s="340" t="s">
        <v>1393</v>
      </c>
      <c r="H27" s="342" t="s">
        <v>1398</v>
      </c>
    </row>
    <row r="28" spans="1:8" ht="14.25">
      <c r="A28" s="166" t="s">
        <v>836</v>
      </c>
      <c r="B28" s="25" t="s">
        <v>837</v>
      </c>
      <c r="C28" s="125"/>
      <c r="D28" s="125"/>
      <c r="E28" s="125"/>
      <c r="F28" s="148"/>
    </row>
    <row r="29" spans="1:8" ht="14.25">
      <c r="A29" s="165" t="s">
        <v>33</v>
      </c>
      <c r="B29" s="168" t="s">
        <v>838</v>
      </c>
      <c r="C29" s="125" t="s">
        <v>839</v>
      </c>
      <c r="D29" s="125" t="s">
        <v>803</v>
      </c>
      <c r="E29" s="163"/>
      <c r="F29" s="153">
        <f>锅炉计算!G38</f>
        <v>2.6023236405546952</v>
      </c>
      <c r="G29" s="335" t="s">
        <v>1392</v>
      </c>
    </row>
    <row r="30" spans="1:8" ht="14.25">
      <c r="A30" s="165" t="s">
        <v>34</v>
      </c>
      <c r="B30" s="360" t="s">
        <v>844</v>
      </c>
      <c r="C30" s="126" t="s">
        <v>847</v>
      </c>
      <c r="D30" s="125" t="s">
        <v>803</v>
      </c>
      <c r="E30" s="170">
        <v>2.5</v>
      </c>
      <c r="F30" s="167">
        <f>2.5*F29</f>
        <v>6.5058091013867383</v>
      </c>
      <c r="G30" s="343" t="s">
        <v>1956</v>
      </c>
    </row>
    <row r="31" spans="1:8" ht="14.25">
      <c r="A31" s="165" t="s">
        <v>35</v>
      </c>
      <c r="B31" s="360" t="s">
        <v>842</v>
      </c>
      <c r="C31" s="126" t="s">
        <v>827</v>
      </c>
      <c r="D31" s="5"/>
      <c r="E31" s="5" t="s">
        <v>843</v>
      </c>
      <c r="F31" s="171">
        <v>2</v>
      </c>
      <c r="G31" s="341" t="s">
        <v>1957</v>
      </c>
    </row>
    <row r="32" spans="1:8" ht="14.25">
      <c r="A32" s="165" t="s">
        <v>36</v>
      </c>
      <c r="B32" s="361" t="s">
        <v>845</v>
      </c>
      <c r="C32" s="126" t="s">
        <v>841</v>
      </c>
      <c r="D32" s="125" t="s">
        <v>803</v>
      </c>
      <c r="E32" s="5" t="s">
        <v>848</v>
      </c>
      <c r="F32" s="167">
        <f>2.5*F30*F31</f>
        <v>32.529045506933691</v>
      </c>
      <c r="G32" s="340" t="s">
        <v>1393</v>
      </c>
    </row>
    <row r="33" spans="1:7" ht="14.25">
      <c r="A33" s="165" t="s">
        <v>37</v>
      </c>
      <c r="B33" s="361" t="s">
        <v>849</v>
      </c>
      <c r="C33" s="126" t="s">
        <v>850</v>
      </c>
      <c r="D33" s="125" t="s">
        <v>803</v>
      </c>
      <c r="E33" s="5" t="s">
        <v>840</v>
      </c>
      <c r="F33" s="167">
        <f>F32</f>
        <v>32.529045506933691</v>
      </c>
      <c r="G33" s="340" t="s">
        <v>1393</v>
      </c>
    </row>
    <row r="34" spans="1:7" ht="14.25">
      <c r="A34" s="165" t="s">
        <v>38</v>
      </c>
      <c r="B34" s="126" t="s">
        <v>851</v>
      </c>
      <c r="C34" s="126" t="s">
        <v>806</v>
      </c>
      <c r="D34" s="126" t="s">
        <v>807</v>
      </c>
      <c r="E34" s="126">
        <v>1.2</v>
      </c>
      <c r="F34" s="159">
        <v>1.2</v>
      </c>
      <c r="G34" s="341" t="s">
        <v>1395</v>
      </c>
    </row>
    <row r="35" spans="1:7" ht="14.25">
      <c r="A35" s="165" t="s">
        <v>39</v>
      </c>
      <c r="B35" s="126" t="s">
        <v>852</v>
      </c>
      <c r="C35" s="126" t="s">
        <v>810</v>
      </c>
      <c r="D35" s="5"/>
      <c r="E35" s="126" t="s">
        <v>811</v>
      </c>
      <c r="F35" s="159">
        <v>0.8</v>
      </c>
      <c r="G35" s="341" t="s">
        <v>1395</v>
      </c>
    </row>
    <row r="36" spans="1:7" ht="14.25">
      <c r="A36" s="165" t="s">
        <v>40</v>
      </c>
      <c r="B36" s="126" t="s">
        <v>853</v>
      </c>
      <c r="C36" s="126" t="s">
        <v>813</v>
      </c>
      <c r="D36" s="126" t="s">
        <v>814</v>
      </c>
      <c r="E36" s="126" t="s">
        <v>815</v>
      </c>
      <c r="F36" s="164">
        <v>10</v>
      </c>
      <c r="G36" s="341" t="s">
        <v>1395</v>
      </c>
    </row>
    <row r="37" spans="1:7" ht="14.25">
      <c r="A37" s="165" t="s">
        <v>41</v>
      </c>
      <c r="B37" s="359" t="s">
        <v>854</v>
      </c>
      <c r="C37" s="126" t="s">
        <v>816</v>
      </c>
      <c r="D37" s="126" t="s">
        <v>817</v>
      </c>
      <c r="E37" s="126" t="s">
        <v>818</v>
      </c>
      <c r="F37" s="167">
        <f>F29*F36*22/F34/F35</f>
        <v>596.36583429378425</v>
      </c>
      <c r="G37" s="340" t="s">
        <v>1393</v>
      </c>
    </row>
    <row r="38" spans="1:7" ht="14.25">
      <c r="A38" s="165" t="s">
        <v>42</v>
      </c>
      <c r="B38" s="358" t="s">
        <v>820</v>
      </c>
      <c r="C38" s="126" t="s">
        <v>821</v>
      </c>
      <c r="D38" s="126" t="s">
        <v>822</v>
      </c>
      <c r="E38" s="5"/>
      <c r="F38" s="169">
        <v>9</v>
      </c>
      <c r="G38" s="341" t="s">
        <v>1957</v>
      </c>
    </row>
    <row r="39" spans="1:7" ht="14.25">
      <c r="A39" s="165" t="s">
        <v>43</v>
      </c>
      <c r="B39" s="358" t="s">
        <v>823</v>
      </c>
      <c r="C39" s="126" t="s">
        <v>824</v>
      </c>
      <c r="D39" s="126" t="s">
        <v>822</v>
      </c>
      <c r="E39" s="5" t="s">
        <v>855</v>
      </c>
      <c r="F39" s="167">
        <f>F37/(3.14*(F38/2)^2)</f>
        <v>9.3790333300901825</v>
      </c>
      <c r="G39" s="340" t="s">
        <v>1393</v>
      </c>
    </row>
  </sheetData>
  <mergeCells count="1">
    <mergeCell ref="B1:D1"/>
  </mergeCells>
  <phoneticPr fontId="1" type="noConversion"/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4"/>
  <sheetViews>
    <sheetView workbookViewId="0">
      <selection activeCell="D1" sqref="D1"/>
    </sheetView>
  </sheetViews>
  <sheetFormatPr defaultRowHeight="14.25"/>
  <cols>
    <col min="1" max="1" width="9" style="414"/>
    <col min="2" max="2" width="17.5" style="414" customWidth="1"/>
    <col min="3" max="3" width="27.5" style="414" customWidth="1"/>
    <col min="4" max="4" width="9" style="414"/>
    <col min="5" max="5" width="9.5" style="414" customWidth="1"/>
    <col min="6" max="6" width="12.75" style="414" bestFit="1" customWidth="1"/>
    <col min="7" max="7" width="20" style="414" customWidth="1"/>
    <col min="8" max="8" width="17.625" style="414" customWidth="1"/>
    <col min="9" max="16384" width="9" style="414"/>
  </cols>
  <sheetData>
    <row r="1" spans="1:8">
      <c r="A1" s="427" t="s">
        <v>1525</v>
      </c>
    </row>
    <row r="2" spans="1:8">
      <c r="A2" s="428"/>
      <c r="B2" s="438" t="s">
        <v>1526</v>
      </c>
      <c r="C2" s="438"/>
      <c r="D2" s="428"/>
      <c r="E2" s="428" t="s">
        <v>1527</v>
      </c>
      <c r="F2" s="428" t="s">
        <v>1528</v>
      </c>
    </row>
    <row r="3" spans="1:8">
      <c r="A3" s="423" t="s">
        <v>1523</v>
      </c>
      <c r="B3" s="419" t="s">
        <v>1529</v>
      </c>
      <c r="C3" s="428"/>
      <c r="D3" s="428" t="s">
        <v>257</v>
      </c>
      <c r="E3" s="436">
        <v>148</v>
      </c>
      <c r="F3" s="436">
        <f>E3+10</f>
        <v>158</v>
      </c>
      <c r="G3" s="329" t="s">
        <v>1614</v>
      </c>
    </row>
    <row r="4" spans="1:8">
      <c r="A4" s="423" t="s">
        <v>152</v>
      </c>
      <c r="B4" s="419"/>
      <c r="C4" s="428" t="s">
        <v>1530</v>
      </c>
      <c r="D4" s="428" t="s">
        <v>1531</v>
      </c>
      <c r="E4" s="435">
        <v>148</v>
      </c>
      <c r="F4" s="435"/>
      <c r="G4" s="329" t="s">
        <v>1376</v>
      </c>
    </row>
    <row r="5" spans="1:8">
      <c r="A5" s="423" t="s">
        <v>156</v>
      </c>
      <c r="B5" s="428" t="s">
        <v>1532</v>
      </c>
      <c r="C5" s="437" t="s">
        <v>1533</v>
      </c>
      <c r="D5" s="428"/>
      <c r="E5" s="428">
        <v>55</v>
      </c>
      <c r="F5" s="428">
        <v>65</v>
      </c>
      <c r="G5" s="329" t="s">
        <v>1376</v>
      </c>
    </row>
    <row r="6" spans="1:8">
      <c r="A6" s="423" t="s">
        <v>160</v>
      </c>
      <c r="B6" s="428" t="s">
        <v>1534</v>
      </c>
      <c r="C6" s="428"/>
      <c r="D6" s="428" t="s">
        <v>1535</v>
      </c>
      <c r="E6" s="436">
        <f>E4*E5</f>
        <v>8140</v>
      </c>
      <c r="F6" s="436">
        <f>E4*F5</f>
        <v>9620</v>
      </c>
      <c r="G6" s="330" t="s">
        <v>1374</v>
      </c>
    </row>
    <row r="7" spans="1:8">
      <c r="A7" s="423" t="s">
        <v>164</v>
      </c>
      <c r="B7" s="428" t="s">
        <v>1536</v>
      </c>
      <c r="C7" s="428"/>
      <c r="D7" s="428" t="s">
        <v>1535</v>
      </c>
      <c r="E7" s="428">
        <v>600</v>
      </c>
      <c r="F7" s="428">
        <v>600</v>
      </c>
      <c r="G7" s="329" t="s">
        <v>1376</v>
      </c>
      <c r="H7" s="414" t="s">
        <v>1537</v>
      </c>
    </row>
    <row r="8" spans="1:8">
      <c r="A8" s="423" t="s">
        <v>167</v>
      </c>
      <c r="B8" s="419" t="s">
        <v>1538</v>
      </c>
      <c r="C8" s="428"/>
      <c r="D8" s="428" t="s">
        <v>1535</v>
      </c>
      <c r="E8" s="436">
        <f>E6+E7</f>
        <v>8740</v>
      </c>
      <c r="F8" s="436">
        <f>F6+F7</f>
        <v>10220</v>
      </c>
      <c r="G8" s="330" t="s">
        <v>1374</v>
      </c>
      <c r="H8" s="414" t="s">
        <v>1539</v>
      </c>
    </row>
    <row r="9" spans="1:8">
      <c r="A9" s="423" t="s">
        <v>204</v>
      </c>
      <c r="B9" s="419"/>
      <c r="C9" s="428" t="s">
        <v>1530</v>
      </c>
      <c r="D9" s="428" t="s">
        <v>1535</v>
      </c>
      <c r="E9" s="435">
        <v>10960</v>
      </c>
      <c r="F9" s="435"/>
      <c r="G9" s="414">
        <v>7</v>
      </c>
      <c r="H9" s="329" t="s">
        <v>1376</v>
      </c>
    </row>
    <row r="10" spans="1:8" ht="19.5" customHeight="1">
      <c r="A10" s="423" t="s">
        <v>209</v>
      </c>
      <c r="B10" s="428" t="s">
        <v>1540</v>
      </c>
      <c r="C10" s="433"/>
      <c r="D10" s="428" t="s">
        <v>1541</v>
      </c>
      <c r="E10" s="428">
        <v>10</v>
      </c>
      <c r="F10" s="428"/>
      <c r="G10" s="414">
        <f>E9/G9</f>
        <v>1565.7142857142858</v>
      </c>
      <c r="H10" s="329" t="s">
        <v>1376</v>
      </c>
    </row>
    <row r="11" spans="1:8">
      <c r="A11" s="423" t="s">
        <v>212</v>
      </c>
      <c r="B11" s="428" t="s">
        <v>1542</v>
      </c>
      <c r="C11" s="433"/>
      <c r="D11" s="428" t="s">
        <v>1541</v>
      </c>
      <c r="E11" s="428">
        <v>26</v>
      </c>
      <c r="F11" s="428"/>
      <c r="G11" s="329" t="s">
        <v>1376</v>
      </c>
    </row>
    <row r="12" spans="1:8">
      <c r="A12" s="423" t="s">
        <v>216</v>
      </c>
      <c r="B12" s="428" t="s">
        <v>1543</v>
      </c>
      <c r="C12" s="434" t="s">
        <v>1544</v>
      </c>
      <c r="D12" s="428"/>
      <c r="E12" s="428">
        <v>0.14599999999999999</v>
      </c>
      <c r="F12" s="428"/>
      <c r="G12" s="329" t="s">
        <v>1376</v>
      </c>
    </row>
    <row r="13" spans="1:8">
      <c r="A13" s="423" t="s">
        <v>217</v>
      </c>
      <c r="B13" s="428" t="s">
        <v>1545</v>
      </c>
      <c r="C13" s="428" t="s">
        <v>1546</v>
      </c>
      <c r="D13" s="428" t="s">
        <v>1547</v>
      </c>
      <c r="E13" s="428">
        <f>E12*E10</f>
        <v>1.46</v>
      </c>
      <c r="F13" s="428"/>
      <c r="G13" s="330" t="s">
        <v>1374</v>
      </c>
    </row>
    <row r="14" spans="1:8">
      <c r="A14" s="423" t="s">
        <v>219</v>
      </c>
      <c r="B14" s="428" t="s">
        <v>1548</v>
      </c>
      <c r="C14" s="428" t="s">
        <v>1549</v>
      </c>
      <c r="D14" s="428" t="s">
        <v>1535</v>
      </c>
      <c r="E14" s="432">
        <f>E13*E9/100</f>
        <v>160.01599999999999</v>
      </c>
      <c r="F14" s="428"/>
      <c r="G14" s="330" t="s">
        <v>1374</v>
      </c>
    </row>
    <row r="15" spans="1:8" ht="28.5">
      <c r="A15" s="423" t="s">
        <v>222</v>
      </c>
      <c r="B15" s="428" t="s">
        <v>1550</v>
      </c>
      <c r="C15" s="433" t="s">
        <v>1551</v>
      </c>
      <c r="D15" s="428"/>
      <c r="E15" s="428">
        <v>0.3</v>
      </c>
      <c r="F15" s="428"/>
      <c r="G15" s="329" t="s">
        <v>1376</v>
      </c>
    </row>
    <row r="16" spans="1:8">
      <c r="A16" s="423" t="s">
        <v>227</v>
      </c>
      <c r="B16" s="428" t="s">
        <v>1552</v>
      </c>
      <c r="C16" s="433"/>
      <c r="D16" s="428" t="s">
        <v>1553</v>
      </c>
      <c r="E16" s="432">
        <f>E15*E9/100</f>
        <v>32.880000000000003</v>
      </c>
      <c r="F16" s="428"/>
      <c r="G16" s="330" t="s">
        <v>1374</v>
      </c>
    </row>
    <row r="17" spans="1:8">
      <c r="A17" s="423" t="s">
        <v>230</v>
      </c>
      <c r="B17" s="428" t="s">
        <v>1554</v>
      </c>
      <c r="C17" s="428" t="s">
        <v>1555</v>
      </c>
      <c r="D17" s="428"/>
      <c r="E17" s="428">
        <v>3</v>
      </c>
      <c r="F17" s="428"/>
      <c r="G17" s="329" t="s">
        <v>1376</v>
      </c>
    </row>
    <row r="18" spans="1:8">
      <c r="A18" s="423" t="s">
        <v>231</v>
      </c>
      <c r="B18" s="428" t="s">
        <v>1556</v>
      </c>
      <c r="C18" s="428" t="s">
        <v>1557</v>
      </c>
      <c r="D18" s="428"/>
      <c r="E18" s="428">
        <f>(E13-E15*(E17-1))/(E17-1)</f>
        <v>0.43</v>
      </c>
      <c r="F18" s="428"/>
      <c r="G18" s="330" t="s">
        <v>1374</v>
      </c>
    </row>
    <row r="19" spans="1:8">
      <c r="A19" s="423" t="s">
        <v>883</v>
      </c>
      <c r="B19" s="428" t="s">
        <v>1558</v>
      </c>
      <c r="C19" s="428"/>
      <c r="D19" s="428" t="s">
        <v>1553</v>
      </c>
      <c r="E19" s="432">
        <f>E18*E9/100</f>
        <v>47.128</v>
      </c>
      <c r="F19" s="428"/>
      <c r="G19" s="330" t="s">
        <v>1374</v>
      </c>
    </row>
    <row r="20" spans="1:8">
      <c r="A20" s="423" t="s">
        <v>886</v>
      </c>
      <c r="B20" s="428" t="s">
        <v>1559</v>
      </c>
      <c r="C20" s="428"/>
      <c r="D20" s="428" t="s">
        <v>1553</v>
      </c>
      <c r="E20" s="431">
        <f>E19+E16+E14</f>
        <v>240.024</v>
      </c>
      <c r="F20" s="428">
        <f>E20/E14</f>
        <v>1.5</v>
      </c>
      <c r="G20" s="330" t="s">
        <v>1374</v>
      </c>
      <c r="H20" s="414" t="s">
        <v>1560</v>
      </c>
    </row>
    <row r="21" spans="1:8">
      <c r="A21" s="423" t="s">
        <v>888</v>
      </c>
      <c r="B21" s="428" t="s">
        <v>1561</v>
      </c>
      <c r="C21" s="428" t="s">
        <v>1562</v>
      </c>
      <c r="D21" s="428" t="s">
        <v>1524</v>
      </c>
      <c r="E21" s="430">
        <f>E9/60*15</f>
        <v>2740</v>
      </c>
      <c r="F21" s="428"/>
      <c r="G21" s="330" t="s">
        <v>1374</v>
      </c>
    </row>
    <row r="22" spans="1:8">
      <c r="A22" s="423" t="s">
        <v>892</v>
      </c>
      <c r="B22" s="428"/>
      <c r="C22" s="428" t="s">
        <v>1563</v>
      </c>
      <c r="D22" s="428" t="s">
        <v>1564</v>
      </c>
      <c r="E22" s="429">
        <v>4</v>
      </c>
      <c r="F22" s="428"/>
      <c r="G22" s="329" t="s">
        <v>1376</v>
      </c>
    </row>
    <row r="23" spans="1:8">
      <c r="A23" s="423" t="s">
        <v>895</v>
      </c>
      <c r="B23" s="428"/>
      <c r="C23" s="428" t="s">
        <v>1565</v>
      </c>
      <c r="D23" s="428" t="s">
        <v>1564</v>
      </c>
      <c r="E23" s="429">
        <v>25</v>
      </c>
      <c r="F23" s="428"/>
      <c r="G23" s="329" t="s">
        <v>1376</v>
      </c>
    </row>
    <row r="24" spans="1:8">
      <c r="A24" s="423" t="s">
        <v>896</v>
      </c>
      <c r="B24" s="428"/>
      <c r="C24" s="428" t="s">
        <v>1566</v>
      </c>
      <c r="D24" s="428" t="s">
        <v>1564</v>
      </c>
      <c r="E24" s="429">
        <v>18</v>
      </c>
      <c r="F24" s="428"/>
      <c r="G24" s="329" t="s">
        <v>1376</v>
      </c>
    </row>
    <row r="25" spans="1:8">
      <c r="A25" s="423" t="s">
        <v>897</v>
      </c>
      <c r="B25" s="428" t="s">
        <v>1567</v>
      </c>
      <c r="C25" s="428"/>
      <c r="D25" s="428" t="s">
        <v>1524</v>
      </c>
      <c r="E25" s="428">
        <f>E22*E23*E24</f>
        <v>1800</v>
      </c>
      <c r="F25" s="428"/>
      <c r="G25" s="330" t="s">
        <v>1374</v>
      </c>
    </row>
    <row r="26" spans="1:8">
      <c r="A26" s="427" t="s">
        <v>1568</v>
      </c>
    </row>
    <row r="27" spans="1:8" ht="28.5">
      <c r="A27" s="423" t="s">
        <v>1569</v>
      </c>
      <c r="B27" s="422" t="s">
        <v>1570</v>
      </c>
      <c r="C27" s="422" t="s">
        <v>1571</v>
      </c>
      <c r="D27" s="422" t="s">
        <v>1572</v>
      </c>
      <c r="E27" s="426">
        <f>E29+E28</f>
        <v>0.214</v>
      </c>
      <c r="G27" s="330" t="s">
        <v>1374</v>
      </c>
    </row>
    <row r="28" spans="1:8">
      <c r="A28" s="423" t="s">
        <v>152</v>
      </c>
      <c r="B28" s="422" t="s">
        <v>1522</v>
      </c>
      <c r="C28" s="422" t="s">
        <v>1512</v>
      </c>
      <c r="D28" s="422" t="s">
        <v>872</v>
      </c>
      <c r="E28" s="426">
        <v>3.4000000000000002E-2</v>
      </c>
      <c r="G28" s="329" t="s">
        <v>1376</v>
      </c>
    </row>
    <row r="29" spans="1:8">
      <c r="A29" s="423" t="s">
        <v>156</v>
      </c>
      <c r="B29" s="422" t="s">
        <v>1521</v>
      </c>
      <c r="C29" s="422"/>
      <c r="D29" s="422" t="s">
        <v>872</v>
      </c>
      <c r="E29" s="426">
        <v>0.18</v>
      </c>
      <c r="G29" s="329" t="s">
        <v>1376</v>
      </c>
    </row>
    <row r="30" spans="1:8">
      <c r="A30" s="423" t="s">
        <v>160</v>
      </c>
      <c r="B30" s="422" t="s">
        <v>1520</v>
      </c>
      <c r="C30" s="422" t="s">
        <v>1518</v>
      </c>
      <c r="D30" s="422" t="s">
        <v>872</v>
      </c>
      <c r="E30" s="426">
        <v>0.1</v>
      </c>
      <c r="G30" s="329" t="s">
        <v>1376</v>
      </c>
    </row>
    <row r="31" spans="1:8" ht="42.75">
      <c r="A31" s="423" t="s">
        <v>164</v>
      </c>
      <c r="B31" s="422" t="s">
        <v>1519</v>
      </c>
      <c r="C31" s="422" t="s">
        <v>1518</v>
      </c>
      <c r="D31" s="422" t="s">
        <v>1517</v>
      </c>
      <c r="E31" s="426">
        <v>4</v>
      </c>
      <c r="G31" s="329" t="s">
        <v>1376</v>
      </c>
    </row>
    <row r="32" spans="1:8" ht="28.5">
      <c r="A32" s="423" t="s">
        <v>167</v>
      </c>
      <c r="B32" s="422" t="s">
        <v>1516</v>
      </c>
      <c r="C32" s="422"/>
      <c r="D32" s="422" t="s">
        <v>275</v>
      </c>
      <c r="E32" s="426">
        <v>-2.5</v>
      </c>
      <c r="G32" s="329" t="s">
        <v>1376</v>
      </c>
    </row>
    <row r="33" spans="1:7" ht="18.75">
      <c r="A33" s="423" t="s">
        <v>204</v>
      </c>
      <c r="B33" s="422" t="s">
        <v>1515</v>
      </c>
      <c r="C33" s="422" t="s">
        <v>1514</v>
      </c>
      <c r="D33" s="422" t="s">
        <v>275</v>
      </c>
      <c r="E33" s="426">
        <v>4</v>
      </c>
      <c r="G33" s="329" t="s">
        <v>1376</v>
      </c>
    </row>
    <row r="34" spans="1:7">
      <c r="A34" s="423" t="s">
        <v>209</v>
      </c>
      <c r="B34" s="422" t="s">
        <v>1513</v>
      </c>
      <c r="C34" s="422" t="s">
        <v>1512</v>
      </c>
      <c r="D34" s="422" t="s">
        <v>275</v>
      </c>
      <c r="E34" s="426">
        <v>5</v>
      </c>
      <c r="G34" s="329" t="s">
        <v>1376</v>
      </c>
    </row>
    <row r="35" spans="1:7" ht="28.5">
      <c r="A35" s="423" t="s">
        <v>212</v>
      </c>
      <c r="B35" s="422" t="s">
        <v>1573</v>
      </c>
      <c r="C35" s="422" t="s">
        <v>1574</v>
      </c>
      <c r="D35" s="422" t="s">
        <v>275</v>
      </c>
      <c r="E35" s="425">
        <f>102*(E27-E30)+E31-E32+(E33+E34)*1.2</f>
        <v>28.927999999999997</v>
      </c>
      <c r="G35" s="330" t="s">
        <v>1374</v>
      </c>
    </row>
    <row r="36" spans="1:7">
      <c r="A36" s="423" t="s">
        <v>216</v>
      </c>
      <c r="B36" s="422" t="s">
        <v>1575</v>
      </c>
      <c r="C36" s="422"/>
      <c r="D36" s="422" t="s">
        <v>257</v>
      </c>
      <c r="E36" s="424">
        <f>E9/2</f>
        <v>5480</v>
      </c>
      <c r="G36" s="330" t="s">
        <v>1374</v>
      </c>
    </row>
    <row r="37" spans="1:7">
      <c r="A37" s="423" t="s">
        <v>217</v>
      </c>
      <c r="B37" s="422" t="s">
        <v>1576</v>
      </c>
      <c r="C37" s="422" t="s">
        <v>1577</v>
      </c>
      <c r="D37" s="422"/>
      <c r="E37" s="422">
        <v>0.88</v>
      </c>
      <c r="G37" s="329" t="s">
        <v>1376</v>
      </c>
    </row>
    <row r="38" spans="1:7" ht="28.5">
      <c r="A38" s="423" t="s">
        <v>219</v>
      </c>
      <c r="B38" s="422" t="s">
        <v>1578</v>
      </c>
      <c r="C38" s="422" t="s">
        <v>1579</v>
      </c>
      <c r="D38" s="422"/>
      <c r="E38" s="422">
        <v>0.98</v>
      </c>
      <c r="G38" s="329" t="s">
        <v>1376</v>
      </c>
    </row>
    <row r="39" spans="1:7">
      <c r="A39" s="423" t="s">
        <v>222</v>
      </c>
      <c r="B39" s="422" t="s">
        <v>220</v>
      </c>
      <c r="C39" s="422" t="s">
        <v>1580</v>
      </c>
      <c r="D39" s="422"/>
      <c r="E39" s="422">
        <v>0.98</v>
      </c>
      <c r="G39" s="329" t="s">
        <v>1376</v>
      </c>
    </row>
    <row r="40" spans="1:7">
      <c r="A40" s="423" t="s">
        <v>227</v>
      </c>
      <c r="B40" s="422" t="s">
        <v>1581</v>
      </c>
      <c r="C40" s="422" t="s">
        <v>1582</v>
      </c>
      <c r="D40" s="422"/>
      <c r="E40" s="422">
        <v>1.1000000000000001</v>
      </c>
      <c r="G40" s="329" t="s">
        <v>1376</v>
      </c>
    </row>
    <row r="41" spans="1:7" ht="15">
      <c r="A41" s="423" t="s">
        <v>230</v>
      </c>
      <c r="B41" s="422" t="s">
        <v>1583</v>
      </c>
      <c r="C41" s="422" t="s">
        <v>1584</v>
      </c>
      <c r="D41" s="422"/>
      <c r="E41" s="421">
        <f>E40*1000*9.8*E35*E36/3600/1000/E37/E38/E39</f>
        <v>561.66893424036266</v>
      </c>
      <c r="G41" s="330" t="s">
        <v>1374</v>
      </c>
    </row>
    <row r="42" spans="1:7">
      <c r="A42" s="419" t="s">
        <v>231</v>
      </c>
      <c r="B42" s="418" t="s">
        <v>1585</v>
      </c>
      <c r="C42" s="417" t="s">
        <v>1586</v>
      </c>
      <c r="D42" s="416" t="s">
        <v>1587</v>
      </c>
      <c r="E42" s="420">
        <f>E41/2</f>
        <v>280.83446712018133</v>
      </c>
      <c r="G42" s="330" t="s">
        <v>1374</v>
      </c>
    </row>
    <row r="43" spans="1:7">
      <c r="A43" s="419"/>
      <c r="B43" s="418"/>
      <c r="C43" s="417"/>
      <c r="D43" s="416" t="s">
        <v>1575</v>
      </c>
      <c r="E43" s="416">
        <f>E36/2</f>
        <v>2740</v>
      </c>
      <c r="G43" s="330" t="s">
        <v>1374</v>
      </c>
    </row>
    <row r="44" spans="1:7">
      <c r="A44" s="419"/>
      <c r="B44" s="418"/>
      <c r="C44" s="417"/>
      <c r="D44" s="416" t="s">
        <v>1588</v>
      </c>
      <c r="E44" s="415">
        <f>E35</f>
        <v>28.927999999999997</v>
      </c>
      <c r="G44" s="330" t="s">
        <v>1374</v>
      </c>
    </row>
  </sheetData>
  <mergeCells count="8">
    <mergeCell ref="B2:C2"/>
    <mergeCell ref="B3:B4"/>
    <mergeCell ref="E4:F4"/>
    <mergeCell ref="B8:B9"/>
    <mergeCell ref="E9:F9"/>
    <mergeCell ref="A42:A44"/>
    <mergeCell ref="B42:B44"/>
    <mergeCell ref="C42:C44"/>
  </mergeCells>
  <phoneticPr fontId="1" type="noConversion"/>
  <pageMargins left="0.75" right="0.75" top="1" bottom="1" header="0.5" footer="0.5"/>
  <headerFooter alignWithMargins="0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14</vt:i4>
      </vt:variant>
      <vt:variant>
        <vt:lpstr>命名范围</vt:lpstr>
      </vt:variant>
      <vt:variant>
        <vt:i4>1</vt:i4>
      </vt:variant>
    </vt:vector>
  </HeadingPairs>
  <TitlesOfParts>
    <vt:vector size="15" baseType="lpstr">
      <vt:lpstr>需求调查表</vt:lpstr>
      <vt:lpstr>锅炉计算</vt:lpstr>
      <vt:lpstr>汽轮机计算</vt:lpstr>
      <vt:lpstr>锅炉辅机系统</vt:lpstr>
      <vt:lpstr>输煤系统</vt:lpstr>
      <vt:lpstr>烟风系统</vt:lpstr>
      <vt:lpstr>脱硫脱硝</vt:lpstr>
      <vt:lpstr>除灰除渣系统</vt:lpstr>
      <vt:lpstr>循环水系统</vt:lpstr>
      <vt:lpstr>制粉系统</vt:lpstr>
      <vt:lpstr>烟囱</vt:lpstr>
      <vt:lpstr>锅炉尺寸</vt:lpstr>
      <vt:lpstr>公用工程</vt:lpstr>
      <vt:lpstr>Sheet3</vt:lpstr>
      <vt:lpstr>烟囱!Print_Area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2017-10-11T08:35:33Z</dcterms:modified>
</cp:coreProperties>
</file>